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oyon\Documents\2017년 계약서 작성(실학)\공사\중앙홀환경개선공사\"/>
    </mc:Choice>
  </mc:AlternateContent>
  <bookViews>
    <workbookView xWindow="3675" yWindow="45" windowWidth="20535" windowHeight="11370" tabRatio="844" activeTab="1"/>
  </bookViews>
  <sheets>
    <sheet name="원가" sheetId="1" r:id="rId1"/>
    <sheet name="집계" sheetId="50" r:id="rId2"/>
    <sheet name="내역" sheetId="44" r:id="rId3"/>
    <sheet name="수량" sheetId="40" r:id="rId4"/>
    <sheet name="목록" sheetId="35" r:id="rId5"/>
    <sheet name="일위" sheetId="6" r:id="rId6"/>
    <sheet name="단가" sheetId="7" r:id="rId7"/>
    <sheet name="노임" sheetId="38" r:id="rId8"/>
    <sheet name="간노율" sheetId="9" state="hidden" r:id="rId9"/>
    <sheet name="경비" sheetId="10" state="hidden" r:id="rId10"/>
    <sheet name="경배" sheetId="11" state="hidden" r:id="rId11"/>
    <sheet name="완성" sheetId="12" state="hidden" r:id="rId12"/>
    <sheet name="산재" sheetId="18" state="hidden" r:id="rId13"/>
    <sheet name="산재율" sheetId="19" state="hidden" r:id="rId14"/>
    <sheet name="고용" sheetId="20" state="hidden" r:id="rId15"/>
    <sheet name="건강" sheetId="22" state="hidden" r:id="rId16"/>
    <sheet name="연금" sheetId="23" state="hidden" r:id="rId17"/>
    <sheet name="노인" sheetId="24" state="hidden" r:id="rId18"/>
    <sheet name="퇴직" sheetId="25" state="hidden" r:id="rId19"/>
    <sheet name="안전" sheetId="26" state="hidden" r:id="rId20"/>
    <sheet name="안전비율" sheetId="27" state="hidden" r:id="rId21"/>
    <sheet name="환경" sheetId="28" state="hidden" r:id="rId22"/>
    <sheet name="일반" sheetId="30" state="hidden" r:id="rId23"/>
    <sheet name="일반율" sheetId="31" state="hidden" r:id="rId24"/>
    <sheet name="이윤" sheetId="32" state="hidden" r:id="rId25"/>
    <sheet name="이윤율" sheetId="33" state="hidden" r:id="rId26"/>
  </sheets>
  <externalReferences>
    <externalReference r:id="rId27"/>
    <externalReference r:id="rId28"/>
  </externalReferences>
  <definedNames>
    <definedName name="______________q45">{"'용역비'!$A$4:$C$8"}</definedName>
    <definedName name="_____________q45">{"'용역비'!$A$4:$C$8"}</definedName>
    <definedName name="____________q45">{"'용역비'!$A$4:$C$8"}</definedName>
    <definedName name="___________q45">{"'용역비'!$A$4:$C$8"}</definedName>
    <definedName name="__________q45">{"'용역비'!$A$4:$C$8"}</definedName>
    <definedName name="_________q45">{"'용역비'!$A$4:$C$8"}</definedName>
    <definedName name="________q45">{"'용역비'!$A$4:$C$8"}</definedName>
    <definedName name="_______q45">{"'용역비'!$A$4:$C$8"}</definedName>
    <definedName name="______q45">{"'용역비'!$A$4:$C$8"}</definedName>
    <definedName name="_____q45">{"'용역비'!$A$4:$C$8"}</definedName>
    <definedName name="____q45">{"'용역비'!$A$4:$C$8"}</definedName>
    <definedName name="___q45">{"'용역비'!$A$4:$C$8"}</definedName>
    <definedName name="__q45">{"'용역비'!$A$4:$C$8"}</definedName>
    <definedName name="_3q45_">{"'용역비'!$A$4:$C$8"}</definedName>
    <definedName name="_56q45_">{"'용역비'!$A$4:$C$8"}</definedName>
    <definedName name="_xlnm._FilterDatabase" localSheetId="2" hidden="1">내역!$A$1:$X$184</definedName>
    <definedName name="_xlnm._FilterDatabase" localSheetId="6" hidden="1">단가!$A$1:$AK$368</definedName>
    <definedName name="_xlnm._FilterDatabase" localSheetId="4" hidden="1">목록!$A$1:$R$64</definedName>
    <definedName name="_xlnm._FilterDatabase" localSheetId="3" hidden="1">수량!$A$1:$L$180</definedName>
    <definedName name="_xlnm._FilterDatabase" localSheetId="5" hidden="1">일위!$A$1:$AA$1249</definedName>
    <definedName name="_Order1">255</definedName>
    <definedName name="_Order2">255</definedName>
    <definedName name="_q45">{"'용역비'!$A$4:$C$8"}</definedName>
    <definedName name="_Regression_Int">1</definedName>
    <definedName name="AccessDatabase">"D:\공무jaje\98년품의-수불\98146.mdb"</definedName>
    <definedName name="cgmh">{"'용역비'!$A$4:$C$8"}</definedName>
    <definedName name="DFD">{"'용역비'!$A$4:$C$8"}</definedName>
    <definedName name="dhj" localSheetId="1">{"'용역비'!$A$4:$C$8"}</definedName>
    <definedName name="DW" localSheetId="1">{"'용역비'!$A$4:$C$8"}</definedName>
    <definedName name="E" localSheetId="1">{"'용역비'!$A$4:$C$8"}</definedName>
    <definedName name="EFG" localSheetId="1">{"'용역비'!$A$4:$C$8"}</definedName>
    <definedName name="EGE" localSheetId="1">{"'용역비'!$A$4:$C$8"}</definedName>
    <definedName name="ertyertye" localSheetId="1">{"'용역비'!$A$4:$C$8"}</definedName>
    <definedName name="ETYETY" localSheetId="1">{"'용역비'!$A$4:$C$8"}</definedName>
    <definedName name="etyj" localSheetId="1">{"'용역비'!$A$4:$C$8"}</definedName>
    <definedName name="etyjj" localSheetId="1">{"'용역비'!$A$4:$C$8"}</definedName>
    <definedName name="ETYJTYJ" localSheetId="1">{"'용역비'!$A$4:$C$8"}</definedName>
    <definedName name="FK">{"'용역비'!$A$4:$C$8"}</definedName>
    <definedName name="G">{"'용역비'!$A$4:$C$8"}</definedName>
    <definedName name="H">{"'용역비'!$A$4:$C$8"}</definedName>
    <definedName name="HSR">{"'용역비'!$A$4:$C$8"}</definedName>
    <definedName name="HTML_CodePage">949</definedName>
    <definedName name="HTML_Control" localSheetId="1">{"'용역비'!$A$4:$C$8"}</definedName>
    <definedName name="HTML_Description">""</definedName>
    <definedName name="HTML_Email">""</definedName>
    <definedName name="HTML_Header">"용역비"</definedName>
    <definedName name="HTML_LastUpdate">"99-07-01"</definedName>
    <definedName name="HTML_LineAfter">FALSE</definedName>
    <definedName name="HTML_LineBefore">FALSE</definedName>
    <definedName name="HTML_Name">"전산실"</definedName>
    <definedName name="HTML_OBDlg2">TRUE</definedName>
    <definedName name="HTML_OBDlg4">TRUE</definedName>
    <definedName name="HTML_OS">0</definedName>
    <definedName name="HTML_PathFile">"C:\My Documents\MyHTML.htm"</definedName>
    <definedName name="HTML_Title">"전체금액"</definedName>
    <definedName name="HW실행" localSheetId="1">{"'용역비'!$A$4:$C$8"}</definedName>
    <definedName name="I">{"'용역비'!$A$4:$C$8"}</definedName>
    <definedName name="II" localSheetId="1">{"'용역비'!$A$4:$C$8"}</definedName>
    <definedName name="IIII" localSheetId="1">{"'용역비'!$A$4:$C$8"}</definedName>
    <definedName name="IIIII" localSheetId="1">{"'용역비'!$A$4:$C$8"}</definedName>
    <definedName name="IOI" localSheetId="1">{"'용역비'!$A$4:$C$8"}</definedName>
    <definedName name="J" localSheetId="1">{"'용역비'!$A$4:$C$8"}</definedName>
    <definedName name="li" localSheetId="1">{"'용역비'!$A$4:$C$8"}</definedName>
    <definedName name="OIL">{"'용역비'!$A$4:$C$8"}</definedName>
    <definedName name="_xlnm.Print_Area" localSheetId="8">간노율!$A$1:$J$22</definedName>
    <definedName name="_xlnm.Print_Area" localSheetId="10">경배!$A$1:$H$21</definedName>
    <definedName name="_xlnm.Print_Area" localSheetId="2">내역!$A$1:$S$203</definedName>
    <definedName name="_xlnm.Print_Area" localSheetId="7">노임!$A$1:$H$126</definedName>
    <definedName name="_xlnm.Print_Area" localSheetId="6">단가!$B$1:$S$132</definedName>
    <definedName name="_xlnm.Print_Area" localSheetId="4">목록!$B$1:$M$64</definedName>
    <definedName name="_xlnm.Print_Area" localSheetId="3">수량!$A$1:$K$202</definedName>
    <definedName name="_xlnm.Print_Area" localSheetId="19">안전!$A$1:$I$13</definedName>
    <definedName name="_xlnm.Print_Area" localSheetId="20">안전비율!$A$1:$J$16</definedName>
    <definedName name="_xlnm.Print_Area" localSheetId="0">원가!$A$1:$K$28</definedName>
    <definedName name="_xlnm.Print_Area" localSheetId="24">이윤!$A$1:$J$14</definedName>
    <definedName name="_xlnm.Print_Area" localSheetId="25">이윤율!$A$1:$G$12</definedName>
    <definedName name="_xlnm.Print_Area" localSheetId="22">일반!$A$1:$J$14</definedName>
    <definedName name="_xlnm.Print_Area" localSheetId="23">일반율!$A$1:$H$13</definedName>
    <definedName name="_xlnm.Print_Area" localSheetId="5">일위!$B$1:$S$1431</definedName>
    <definedName name="_xlnm.Print_Area" localSheetId="1">집계!$A$1:$T$23</definedName>
    <definedName name="_xlnm.Print_Area" localSheetId="21">환경!$A$1:$J$14</definedName>
    <definedName name="_xlnm.Print_Titles" localSheetId="2">내역!$2:$6</definedName>
    <definedName name="_xlnm.Print_Titles" localSheetId="7">노임!$1:$3</definedName>
    <definedName name="_xlnm.Print_Titles" localSheetId="6">단가!$2:$7</definedName>
    <definedName name="_xlnm.Print_Titles" localSheetId="4">목록!$2:$5</definedName>
    <definedName name="_xlnm.Print_Titles" localSheetId="3">수량!$2:$5</definedName>
    <definedName name="_xlnm.Print_Titles" localSheetId="11">완성!$2:$3</definedName>
    <definedName name="_xlnm.Print_Titles" localSheetId="5">일위!$2:$2</definedName>
    <definedName name="_xlnm.Print_Titles" localSheetId="1">집계!$2:$5</definedName>
    <definedName name="q234562456">{"'용역비'!$A$4:$C$8"}</definedName>
    <definedName name="qyk">{"'용역비'!$A$4:$C$8"}</definedName>
    <definedName name="RH">{"'용역비'!$A$4:$C$8"}</definedName>
    <definedName name="RT">{"'용역비'!$A$4:$C$8"}</definedName>
    <definedName name="RTGH">{"'용역비'!$A$4:$C$8"}</definedName>
    <definedName name="rty">{"'용역비'!$A$4:$C$8"}</definedName>
    <definedName name="RYUIRYU">{"'용역비'!$A$4:$C$8"}</definedName>
    <definedName name="ryuk">{"'용역비'!$A$4:$C$8"}</definedName>
    <definedName name="SD" localSheetId="1">{"'용역비'!$A$4:$C$8"}</definedName>
    <definedName name="sdryhj">{"'용역비'!$A$4:$C$8"}</definedName>
    <definedName name="SE" localSheetId="1">{"'용역비'!$A$4:$C$8"}</definedName>
    <definedName name="solver_cvg">0.001</definedName>
    <definedName name="solver_drv">1</definedName>
    <definedName name="solver_est">1</definedName>
    <definedName name="solver_itr">100</definedName>
    <definedName name="solver_lin">0</definedName>
    <definedName name="solver_neg">2</definedName>
    <definedName name="solver_num">1</definedName>
    <definedName name="solver_nwt">1</definedName>
    <definedName name="solver_pre">0.000001</definedName>
    <definedName name="solver_rel1">1</definedName>
    <definedName name="solver_rhs1">500000000</definedName>
    <definedName name="solver_scl">2</definedName>
    <definedName name="solver_sho">2</definedName>
    <definedName name="solver_tim">100</definedName>
    <definedName name="solver_tmp">500000000</definedName>
    <definedName name="solver_tol">0.05</definedName>
    <definedName name="solver_typ">1</definedName>
    <definedName name="solver_val">0</definedName>
    <definedName name="srth">{"'용역비'!$A$4:$C$8"}</definedName>
    <definedName name="STS" localSheetId="1">{"'용역비'!$A$4:$C$8"}</definedName>
    <definedName name="TEYJ" localSheetId="1">{"'용역비'!$A$4:$C$8"}</definedName>
    <definedName name="TFUI" localSheetId="1">{"'용역비'!$A$4:$C$8"}</definedName>
    <definedName name="tu">{"'용역비'!$A$4:$C$8"}</definedName>
    <definedName name="tuilol" localSheetId="1">{"'용역비'!$A$4:$C$8"}</definedName>
    <definedName name="TUIO" localSheetId="1">{"'용역비'!$A$4:$C$8"}</definedName>
    <definedName name="TUIO.L" localSheetId="1">{"'용역비'!$A$4:$C$8"}</definedName>
    <definedName name="TUIOTUI" localSheetId="1">{"'용역비'!$A$4:$C$8"}</definedName>
    <definedName name="TYJ" localSheetId="1">{"'용역비'!$A$4:$C$8"}</definedName>
    <definedName name="tyje" localSheetId="1">{"'용역비'!$A$4:$C$8"}</definedName>
    <definedName name="tyjet" localSheetId="1">{"'용역비'!$A$4:$C$8"}</definedName>
    <definedName name="tyu" localSheetId="1">{"'용역비'!$A$4:$C$8"}</definedName>
    <definedName name="U" localSheetId="1">{"'용역비'!$A$4:$C$8"}</definedName>
    <definedName name="ulo" localSheetId="1">{"'용역비'!$A$4:$C$8"}</definedName>
    <definedName name="UTI" localSheetId="1">{"'용역비'!$A$4:$C$8"}</definedName>
    <definedName name="UTIOL" localSheetId="1">{"'용역비'!$A$4:$C$8"}</definedName>
    <definedName name="uu" localSheetId="1">{"'용역비'!$A$4:$C$8"}</definedName>
    <definedName name="vcc">{"'용역비'!$A$4:$C$8"}</definedName>
    <definedName name="wrty" localSheetId="1">{"'용역비'!$A$4:$C$8"}</definedName>
    <definedName name="wrtyrtyrt" localSheetId="1">{"'용역비'!$A$4:$C$8"}</definedName>
    <definedName name="wrtywrtywr" localSheetId="1">{"'용역비'!$A$4:$C$8"}</definedName>
    <definedName name="wuy" localSheetId="1">{"'용역비'!$A$4:$C$8"}</definedName>
    <definedName name="XXXXXX" localSheetId="1">{"'공사부문'!$A$6:$A$32"}</definedName>
    <definedName name="y" localSheetId="1">{"'용역비'!$A$4:$C$8"}</definedName>
    <definedName name="YFU" localSheetId="1">{"'용역비'!$A$4:$C$8"}</definedName>
    <definedName name="YL" localSheetId="1">{"'용역비'!$A$4:$C$8"}</definedName>
    <definedName name="yu" localSheetId="1">{"'용역비'!$A$4:$C$8"}</definedName>
    <definedName name="YUK" localSheetId="1">{"'용역비'!$A$4:$C$8"}</definedName>
    <definedName name="YUKOI" localSheetId="1">{"'용역비'!$A$4:$C$8"}</definedName>
    <definedName name="ㄱ">{"'용역비'!$A$4:$C$8"}</definedName>
    <definedName name="ㄱㄱ">{"'용역비'!$A$4:$C$8"}</definedName>
    <definedName name="ㄱㄱㄱ" localSheetId="1">{"'용역비'!$A$4:$C$8"}</definedName>
    <definedName name="ㄱㄱㄱㄱㄱ" localSheetId="1">{"'용역비'!$A$4:$C$8"}</definedName>
    <definedName name="ㄱㄱㄱㄱㄱㄱ" localSheetId="1">{"'용역비'!$A$4:$C$8"}</definedName>
    <definedName name="겨" localSheetId="1">{"'용역비'!$A$4:$C$8"}</definedName>
    <definedName name="경비집계" localSheetId="1">{"'용역비'!$A$4:$C$8"}</definedName>
    <definedName name="ㄳㄳㄳㄳ" localSheetId="1">{"'용역비'!$A$4:$C$8"}</definedName>
    <definedName name="ㄴㄴ">{"'용역비'!$A$4:$C$8"}</definedName>
    <definedName name="ㄴㅇㄹㅇㄹ">{"'용역비'!$A$4:$C$8"}</definedName>
    <definedName name="ㄴㅇㄻㄴㅇㄹ">{"'용역비'!$A$4:$C$8"}</definedName>
    <definedName name="남윤">{"'용역비'!$A$4:$C$8"}</definedName>
    <definedName name="ㄷ6ㅓ" localSheetId="1">{"'용역비'!$A$4:$C$8"}</definedName>
    <definedName name="ㄷㄱㄷㄱㄷㄱ" localSheetId="1">{"'용역비'!$A$4:$C$8"}</definedName>
    <definedName name="ㄷㄷ" localSheetId="1">{"'용역비'!$A$4:$C$8"}</definedName>
    <definedName name="ㄷㄷㄱㄱ" localSheetId="1">{"'용역비'!$A$4:$C$8"}</definedName>
    <definedName name="ㄷㅍㅂ">{"'용역비'!$A$4:$C$8"}</definedName>
    <definedName name="대상">{"'용역비'!$A$4:$C$8"}</definedName>
    <definedName name="ㄹㄴㄹㄹ" localSheetId="1">{"'용역비'!$A$4:$C$8"}</definedName>
    <definedName name="ㄹㄹ">{"'용역비'!$A$4:$C$8"}</definedName>
    <definedName name="ㄹㄹㄹㄹㄹ">{"'용역비'!$A$4:$C$8"}</definedName>
    <definedName name="료" localSheetId="1">{"'용역비'!$A$4:$C$8"}</definedName>
    <definedName name="ㅁㄴㅇㄻㄴㅇㄹㄴㅁㅎㄴㅇㅎ" localSheetId="1">{"'용역비'!$A$4:$C$8"}</definedName>
    <definedName name="ㅁㄴㅇㅁ">{"'용역비'!$A$4:$C$8"}</definedName>
    <definedName name="ㅁㅁㅁ">{"'용역비'!$A$4:$C$8"}</definedName>
    <definedName name="ㅁㅁㅁㅁㅁ" localSheetId="1">{"'용역비'!$A$4:$C$8"}</definedName>
    <definedName name="모형">{"'용역비'!$A$4:$C$8"}</definedName>
    <definedName name="ㅂㅂㅂ">{"'용역비'!$A$4:$C$8"}</definedName>
    <definedName name="ㅂㅂㅂㅂㅂㅂ" localSheetId="1">{"'용역비'!$A$4:$C$8"}</definedName>
    <definedName name="바부" localSheetId="1">{"'용역비'!$A$4:$C$8"}</definedName>
    <definedName name="산출사인">{"'용역비'!$A$4:$C$8"}</definedName>
    <definedName name="속표지">{"'용역비'!$A$4:$C$8"}</definedName>
    <definedName name="ㅇㄴㄴㅇㅇㄴㄴㅇ">{"'용역비'!$A$4:$C$8"}</definedName>
    <definedName name="ㅇㄴㄹㄴㅇㄹㄹㄴㅇ">{"'용역비'!$A$4:$C$8"}</definedName>
    <definedName name="ㅇㄴㅇ" localSheetId="1">{"'용역비'!$A$4:$C$8"}</definedName>
    <definedName name="ㅇㅀ" localSheetId="1">{"'용역비'!$A$4:$C$8"}</definedName>
    <definedName name="ㅇㅇㅇ">{"'용역비'!$A$4:$C$8"}</definedName>
    <definedName name="ㅇㅎㅇㅎ">{"'용역비'!$A$4:$C$8"}</definedName>
    <definedName name="ㅇ호" localSheetId="1">{"'용역비'!$A$4:$C$8"}</definedName>
    <definedName name="ㅇ호ㅓ" localSheetId="1">{"'용역비'!$A$4:$C$8"}</definedName>
    <definedName name="ㅇ호ㅓㅇㅎ" localSheetId="1">{"'용역비'!$A$4:$C$8"}</definedName>
    <definedName name="ㅇ호ㅓㅇ호ㅓ" localSheetId="1">{"'용역비'!$A$4:$C$8"}</definedName>
    <definedName name="ㅇ호ㅓㅎ" localSheetId="1">{"'용역비'!$A$4:$C$8"}</definedName>
    <definedName name="ㅇ호ㅓ호ㅓ" localSheetId="1">{"'용역비'!$A$4:$C$8"}</definedName>
    <definedName name="어" localSheetId="1">{"'용역비'!$A$4:$C$8"}</definedName>
    <definedName name="여비">{"'공사부문'!$A$6:$A$32"}</definedName>
    <definedName name="임ㄴ">{"'공사부문'!$A$6:$A$32"}</definedName>
    <definedName name="ㅈ56ㅕ" localSheetId="1">{"'용역비'!$A$4:$C$8"}</definedName>
    <definedName name="ㅈㄷㄱㄷㄱㄷ" localSheetId="1">{"'용역비'!$A$4:$C$8"}</definedName>
    <definedName name="ㅈㅇ" localSheetId="1">{"'용역비'!$A$4:$C$8"}</definedName>
    <definedName name="ㅈㅈㅈ">{"'용역비'!$A$4:$C$8"}</definedName>
    <definedName name="ㅈㅈㅈㅈㅈㅈ" localSheetId="1">{"'용역비'!$A$4:$C$8"}</definedName>
    <definedName name="재집" localSheetId="1">{"'용역비'!$A$4:$C$8"}</definedName>
    <definedName name="전시">{"'용역비'!$A$4:$C$8"}</definedName>
    <definedName name="전시물량" localSheetId="1">{"'공사부문'!$A$6:$A$32"}</definedName>
    <definedName name="전시시설물" localSheetId="1">{"'용역비'!$A$4:$C$8"}</definedName>
    <definedName name="제수추가" localSheetId="1">{"'용역비'!$A$4:$C$8"}</definedName>
    <definedName name="제작">{"'용역비'!$A$4:$C$8"}</definedName>
    <definedName name="직재">{"'용역비'!$A$4:$C$8"}</definedName>
    <definedName name="천사" localSheetId="1">{"'용역비'!$A$4:$C$8"}</definedName>
    <definedName name="ㅋㅋㅋ" localSheetId="1">{"'용역비'!$A$4:$C$8"}</definedName>
    <definedName name="ㅋㅌ" localSheetId="1">{"'용역비'!$A$4:$C$8"}</definedName>
    <definedName name="콘트롤러">{"'용역비'!$A$4:$C$8"}</definedName>
    <definedName name="ㅎㅇ">{"'용역비'!$A$4:$C$8"}</definedName>
    <definedName name="ㅎ오" localSheetId="1">{"'용역비'!$A$4:$C$8"}</definedName>
    <definedName name="ㅎㅎㅎ">{"'용역비'!$A$4:$C$8"}</definedName>
    <definedName name="호ㅓ" localSheetId="1">{"'용역비'!$A$4:$C$8"}</definedName>
    <definedName name="홍ㅇ호">{"'용역비'!$A$4:$C$8"}</definedName>
    <definedName name="ㅑㅑ" localSheetId="1">{"'용역비'!$A$4:$C$8"}</definedName>
    <definedName name="ㅑㅑㅑ" localSheetId="1">{"'용역비'!$A$4:$C$8"}</definedName>
    <definedName name="ㅑㅑㅑㅑㅑ" localSheetId="1">{"'용역비'!$A$4:$C$8"}</definedName>
    <definedName name="ㅑㅑㅑㅑㅑㅑ" localSheetId="1">{"'용역비'!$A$4:$C$8"}</definedName>
    <definedName name="ㅑㅕㅕ" localSheetId="1">{"'용역비'!$A$4:$C$8"}</definedName>
    <definedName name="ㅔㅣ" localSheetId="1">{"'용역비'!$A$4:$C$8"}</definedName>
    <definedName name="ㅛ" localSheetId="1">{"'용역비'!$A$4:$C$8"}</definedName>
    <definedName name="ㅛㅛ" localSheetId="1">{"'용역비'!$A$4:$C$8"}</definedName>
    <definedName name="ㅛㅛㅛ" localSheetId="1">{"'용역비'!$A$4:$C$8"}</definedName>
    <definedName name="ㅠㄱ">{"'용역비'!$A$4:$C$8"}</definedName>
  </definedNames>
  <calcPr calcId="152511"/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I189" i="44"/>
  <c r="I188" i="44"/>
  <c r="O191" i="44"/>
  <c r="M191" i="44"/>
  <c r="I191" i="44"/>
  <c r="I190" i="44"/>
  <c r="R129" i="7"/>
  <c r="A129" i="7"/>
  <c r="Q1364" i="6"/>
  <c r="T1364" i="6" s="1"/>
  <c r="O1364" i="6"/>
  <c r="J1364" i="6"/>
  <c r="K1364" i="6" s="1"/>
  <c r="I1364" i="6"/>
  <c r="H1364" i="6"/>
  <c r="Q1340" i="6"/>
  <c r="T1340" i="6" s="1"/>
  <c r="O1340" i="6"/>
  <c r="J1340" i="6"/>
  <c r="K1340" i="6" s="1"/>
  <c r="I1340" i="6"/>
  <c r="H1340" i="6"/>
  <c r="Q1391" i="6"/>
  <c r="T1391" i="6" s="1"/>
  <c r="O1391" i="6"/>
  <c r="J1391" i="6"/>
  <c r="K1391" i="6" s="1"/>
  <c r="I1391" i="6"/>
  <c r="H1391" i="6"/>
  <c r="Q1390" i="6"/>
  <c r="T1390" i="6" s="1"/>
  <c r="O1390" i="6"/>
  <c r="J1390" i="6"/>
  <c r="K1390" i="6" s="1"/>
  <c r="I1390" i="6"/>
  <c r="H1390" i="6"/>
  <c r="Q1339" i="6"/>
  <c r="T1339" i="6" s="1"/>
  <c r="O1339" i="6"/>
  <c r="J1339" i="6"/>
  <c r="K1339" i="6" s="1"/>
  <c r="I1339" i="6"/>
  <c r="H1339" i="6"/>
  <c r="Q1338" i="6"/>
  <c r="T1338" i="6" s="1"/>
  <c r="O1338" i="6"/>
  <c r="J1338" i="6"/>
  <c r="K1338" i="6" s="1"/>
  <c r="I1338" i="6"/>
  <c r="H1338" i="6"/>
  <c r="C1384" i="6"/>
  <c r="C1383" i="6"/>
  <c r="H1383" i="6" s="1"/>
  <c r="C1382" i="6"/>
  <c r="H1382" i="6" s="1"/>
  <c r="C1358" i="6"/>
  <c r="C1357" i="6"/>
  <c r="H1357" i="6" s="1"/>
  <c r="C1356" i="6"/>
  <c r="H1356" i="6" s="1"/>
  <c r="T1379" i="6"/>
  <c r="H1379" i="6"/>
  <c r="T1378" i="6"/>
  <c r="H1378" i="6"/>
  <c r="T1377" i="6"/>
  <c r="H1377" i="6"/>
  <c r="T1376" i="6"/>
  <c r="H1376" i="6"/>
  <c r="T1375" i="6"/>
  <c r="H1375" i="6"/>
  <c r="T1374" i="6"/>
  <c r="H1374" i="6"/>
  <c r="T1373" i="6"/>
  <c r="H1373" i="6"/>
  <c r="T1372" i="6"/>
  <c r="H1372" i="6"/>
  <c r="T1371" i="6"/>
  <c r="H1371" i="6"/>
  <c r="T1370" i="6"/>
  <c r="H1370" i="6"/>
  <c r="T1369" i="6"/>
  <c r="H1369" i="6"/>
  <c r="T1368" i="6"/>
  <c r="H1368" i="6"/>
  <c r="T1367" i="6"/>
  <c r="H1367" i="6"/>
  <c r="T1366" i="6"/>
  <c r="H1366" i="6"/>
  <c r="T1365" i="6"/>
  <c r="H1365" i="6"/>
  <c r="Q1363" i="6"/>
  <c r="T1363" i="6" s="1"/>
  <c r="O1363" i="6"/>
  <c r="J1363" i="6"/>
  <c r="K1363" i="6" s="1"/>
  <c r="I1363" i="6"/>
  <c r="H1363" i="6"/>
  <c r="O1362" i="6"/>
  <c r="O1376" i="6" s="1"/>
  <c r="N1358" i="6" s="1"/>
  <c r="L1362" i="6"/>
  <c r="M1362" i="6" s="1"/>
  <c r="I1362" i="6"/>
  <c r="H1362" i="6"/>
  <c r="T1361" i="6"/>
  <c r="H1361" i="6"/>
  <c r="T1360" i="6"/>
  <c r="H1360" i="6"/>
  <c r="T1359" i="6"/>
  <c r="H1359" i="6"/>
  <c r="H1358" i="6"/>
  <c r="T1357" i="6"/>
  <c r="T1356" i="6"/>
  <c r="T1355" i="6"/>
  <c r="X1354" i="6"/>
  <c r="X1355" i="6" s="1"/>
  <c r="T1354" i="6"/>
  <c r="H1354" i="6"/>
  <c r="T1405" i="6"/>
  <c r="H1405" i="6"/>
  <c r="T1404" i="6"/>
  <c r="H1404" i="6"/>
  <c r="T1403" i="6"/>
  <c r="H1403" i="6"/>
  <c r="T1402" i="6"/>
  <c r="H1402" i="6"/>
  <c r="T1401" i="6"/>
  <c r="H1401" i="6"/>
  <c r="T1400" i="6"/>
  <c r="H1400" i="6"/>
  <c r="T1399" i="6"/>
  <c r="H1399" i="6"/>
  <c r="T1398" i="6"/>
  <c r="H1398" i="6"/>
  <c r="T1397" i="6"/>
  <c r="H1397" i="6"/>
  <c r="T1396" i="6"/>
  <c r="H1396" i="6"/>
  <c r="T1395" i="6"/>
  <c r="H1395" i="6"/>
  <c r="T1394" i="6"/>
  <c r="H1394" i="6"/>
  <c r="T1393" i="6"/>
  <c r="H1393" i="6"/>
  <c r="T1392" i="6"/>
  <c r="H1392" i="6"/>
  <c r="Q1389" i="6"/>
  <c r="T1389" i="6" s="1"/>
  <c r="O1389" i="6"/>
  <c r="J1389" i="6"/>
  <c r="K1389" i="6" s="1"/>
  <c r="I1389" i="6"/>
  <c r="H1389" i="6"/>
  <c r="O1388" i="6"/>
  <c r="O1402" i="6" s="1"/>
  <c r="N1384" i="6" s="1"/>
  <c r="L1388" i="6"/>
  <c r="M1388" i="6" s="1"/>
  <c r="I1388" i="6"/>
  <c r="H1388" i="6"/>
  <c r="T1387" i="6"/>
  <c r="H1387" i="6"/>
  <c r="T1386" i="6"/>
  <c r="H1386" i="6"/>
  <c r="T1385" i="6"/>
  <c r="H1385" i="6"/>
  <c r="H1384" i="6"/>
  <c r="T1383" i="6"/>
  <c r="T1382" i="6"/>
  <c r="T1381" i="6"/>
  <c r="X1380" i="6"/>
  <c r="X1381" i="6" s="1"/>
  <c r="T1380" i="6"/>
  <c r="H1380" i="6"/>
  <c r="A60" i="35"/>
  <c r="A59" i="35"/>
  <c r="J202" i="40"/>
  <c r="H202" i="40"/>
  <c r="G202" i="40"/>
  <c r="F202" i="40"/>
  <c r="D202" i="40"/>
  <c r="B202" i="40"/>
  <c r="A202" i="40"/>
  <c r="J201" i="40"/>
  <c r="H201" i="40"/>
  <c r="G201" i="40"/>
  <c r="F201" i="40"/>
  <c r="D201" i="40"/>
  <c r="B201" i="40"/>
  <c r="A201" i="40"/>
  <c r="J200" i="40"/>
  <c r="H200" i="40"/>
  <c r="G200" i="40"/>
  <c r="F200" i="40"/>
  <c r="D200" i="40"/>
  <c r="B200" i="40"/>
  <c r="A200" i="40"/>
  <c r="J199" i="40"/>
  <c r="H199" i="40"/>
  <c r="G199" i="40"/>
  <c r="F199" i="40"/>
  <c r="D199" i="40"/>
  <c r="B199" i="40"/>
  <c r="A199" i="40"/>
  <c r="J198" i="40"/>
  <c r="H198" i="40"/>
  <c r="G198" i="40"/>
  <c r="F198" i="40"/>
  <c r="D198" i="40"/>
  <c r="B198" i="40"/>
  <c r="A198" i="40"/>
  <c r="J197" i="40"/>
  <c r="H197" i="40"/>
  <c r="G197" i="40"/>
  <c r="F197" i="40"/>
  <c r="D197" i="40"/>
  <c r="B197" i="40"/>
  <c r="A197" i="40"/>
  <c r="J196" i="40"/>
  <c r="H196" i="40"/>
  <c r="G196" i="40"/>
  <c r="F196" i="40"/>
  <c r="D196" i="40"/>
  <c r="B196" i="40"/>
  <c r="A196" i="40"/>
  <c r="J195" i="40"/>
  <c r="H195" i="40"/>
  <c r="G195" i="40"/>
  <c r="F195" i="40"/>
  <c r="D195" i="40"/>
  <c r="B195" i="40"/>
  <c r="A195" i="40"/>
  <c r="J194" i="40"/>
  <c r="H194" i="40"/>
  <c r="G194" i="40"/>
  <c r="F194" i="40"/>
  <c r="D194" i="40"/>
  <c r="B194" i="40"/>
  <c r="A194" i="40"/>
  <c r="J193" i="40"/>
  <c r="H193" i="40"/>
  <c r="G193" i="40"/>
  <c r="F193" i="40"/>
  <c r="D193" i="40"/>
  <c r="B193" i="40"/>
  <c r="A193" i="40"/>
  <c r="J192" i="40"/>
  <c r="H192" i="40"/>
  <c r="G192" i="40"/>
  <c r="F192" i="40"/>
  <c r="D192" i="40"/>
  <c r="B192" i="40"/>
  <c r="A192" i="40"/>
  <c r="J191" i="40"/>
  <c r="H191" i="40"/>
  <c r="G191" i="40"/>
  <c r="F191" i="40"/>
  <c r="D191" i="40"/>
  <c r="B191" i="40"/>
  <c r="A191" i="40"/>
  <c r="J190" i="40"/>
  <c r="H190" i="40"/>
  <c r="G190" i="40"/>
  <c r="F190" i="40"/>
  <c r="D190" i="40"/>
  <c r="B190" i="40"/>
  <c r="A190" i="40"/>
  <c r="J189" i="40"/>
  <c r="H189" i="40"/>
  <c r="G189" i="40"/>
  <c r="F189" i="40"/>
  <c r="D189" i="40"/>
  <c r="B189" i="40"/>
  <c r="A189" i="40"/>
  <c r="J188" i="40"/>
  <c r="H188" i="40"/>
  <c r="G188" i="40"/>
  <c r="F188" i="40"/>
  <c r="D188" i="40"/>
  <c r="B188" i="40"/>
  <c r="A188" i="40"/>
  <c r="J187" i="40"/>
  <c r="H187" i="40"/>
  <c r="G187" i="40"/>
  <c r="F187" i="40"/>
  <c r="D187" i="40"/>
  <c r="B187" i="40"/>
  <c r="A187" i="40"/>
  <c r="J186" i="40"/>
  <c r="H186" i="40"/>
  <c r="G186" i="40"/>
  <c r="F186" i="40"/>
  <c r="D186" i="40"/>
  <c r="B186" i="40"/>
  <c r="A186" i="40"/>
  <c r="J185" i="40"/>
  <c r="H185" i="40"/>
  <c r="G185" i="40"/>
  <c r="F185" i="40"/>
  <c r="D185" i="40"/>
  <c r="B185" i="40"/>
  <c r="A185" i="40"/>
  <c r="J184" i="40"/>
  <c r="H184" i="40"/>
  <c r="G184" i="40"/>
  <c r="F184" i="40"/>
  <c r="D184" i="40"/>
  <c r="B184" i="40"/>
  <c r="A184" i="40"/>
  <c r="J183" i="40"/>
  <c r="H183" i="40"/>
  <c r="G183" i="40"/>
  <c r="F183" i="40"/>
  <c r="D183" i="40"/>
  <c r="B183" i="40"/>
  <c r="A183" i="40"/>
  <c r="J182" i="40"/>
  <c r="H182" i="40"/>
  <c r="G182" i="40"/>
  <c r="F182" i="40"/>
  <c r="D182" i="40"/>
  <c r="B182" i="40"/>
  <c r="A182" i="40"/>
  <c r="J181" i="40"/>
  <c r="H181" i="40"/>
  <c r="G181" i="40"/>
  <c r="F181" i="40"/>
  <c r="B181" i="40"/>
  <c r="U201" i="44"/>
  <c r="U200" i="44"/>
  <c r="U199" i="44"/>
  <c r="U198" i="44"/>
  <c r="U197" i="44"/>
  <c r="U196" i="44"/>
  <c r="U195" i="44"/>
  <c r="U194" i="44"/>
  <c r="U193" i="44"/>
  <c r="U192" i="44"/>
  <c r="I187" i="44"/>
  <c r="I186" i="44"/>
  <c r="I185" i="44"/>
  <c r="I184" i="44"/>
  <c r="O167" i="44"/>
  <c r="M167" i="44"/>
  <c r="I167" i="44"/>
  <c r="O166" i="44"/>
  <c r="M166" i="44"/>
  <c r="I166" i="44"/>
  <c r="O165" i="44"/>
  <c r="M165" i="44"/>
  <c r="I165" i="44"/>
  <c r="U164" i="44"/>
  <c r="O163" i="44"/>
  <c r="M163" i="44"/>
  <c r="I163" i="44"/>
  <c r="O162" i="44"/>
  <c r="M162" i="44"/>
  <c r="I162" i="44"/>
  <c r="U161" i="44"/>
  <c r="R130" i="7"/>
  <c r="A130" i="7"/>
  <c r="R128" i="7"/>
  <c r="A128" i="7"/>
  <c r="R127" i="7"/>
  <c r="A127" i="7"/>
  <c r="R131" i="7"/>
  <c r="A131" i="7"/>
  <c r="R126" i="7"/>
  <c r="A126" i="7"/>
  <c r="R125" i="7"/>
  <c r="A125" i="7"/>
  <c r="R124" i="7"/>
  <c r="A124" i="7"/>
  <c r="Q1312" i="6"/>
  <c r="T1312" i="6" s="1"/>
  <c r="O1312" i="6"/>
  <c r="J1312" i="6"/>
  <c r="K1312" i="6" s="1"/>
  <c r="I1312" i="6"/>
  <c r="H1312" i="6"/>
  <c r="Q1311" i="6"/>
  <c r="T1311" i="6" s="1"/>
  <c r="O1311" i="6"/>
  <c r="J1311" i="6"/>
  <c r="K1311" i="6" s="1"/>
  <c r="I1311" i="6"/>
  <c r="H1311" i="6"/>
  <c r="Q1421" i="6"/>
  <c r="T1421" i="6" s="1"/>
  <c r="O1421" i="6"/>
  <c r="J1421" i="6"/>
  <c r="K1421" i="6" s="1"/>
  <c r="I1421" i="6"/>
  <c r="H1421" i="6"/>
  <c r="Q1420" i="6"/>
  <c r="T1420" i="6" s="1"/>
  <c r="O1420" i="6"/>
  <c r="J1420" i="6"/>
  <c r="K1420" i="6" s="1"/>
  <c r="I1420" i="6"/>
  <c r="H1420" i="6"/>
  <c r="Q1418" i="6"/>
  <c r="T1418" i="6" s="1"/>
  <c r="O1418" i="6"/>
  <c r="J1418" i="6"/>
  <c r="K1418" i="6" s="1"/>
  <c r="I1418" i="6"/>
  <c r="H1418" i="6"/>
  <c r="Q1419" i="6"/>
  <c r="T1419" i="6" s="1"/>
  <c r="O1419" i="6"/>
  <c r="J1419" i="6"/>
  <c r="K1419" i="6" s="1"/>
  <c r="I1419" i="6"/>
  <c r="H1419" i="6"/>
  <c r="Q1417" i="6"/>
  <c r="T1417" i="6" s="1"/>
  <c r="O1417" i="6"/>
  <c r="J1417" i="6"/>
  <c r="K1417" i="6" s="1"/>
  <c r="I1417" i="6"/>
  <c r="H1417" i="6"/>
  <c r="T1341" i="6"/>
  <c r="H1341" i="6"/>
  <c r="Q1337" i="6"/>
  <c r="T1337" i="6" s="1"/>
  <c r="O1337" i="6"/>
  <c r="J1337" i="6"/>
  <c r="K1337" i="6" s="1"/>
  <c r="I1337" i="6"/>
  <c r="H1337" i="6"/>
  <c r="O1336" i="6"/>
  <c r="L1336" i="6"/>
  <c r="M1336" i="6" s="1"/>
  <c r="I1336" i="6"/>
  <c r="H1336" i="6"/>
  <c r="Q1416" i="6"/>
  <c r="T1416" i="6" s="1"/>
  <c r="O1416" i="6"/>
  <c r="J1416" i="6"/>
  <c r="K1416" i="6" s="1"/>
  <c r="I1416" i="6"/>
  <c r="H1416" i="6"/>
  <c r="Q1415" i="6"/>
  <c r="T1415" i="6" s="1"/>
  <c r="O1415" i="6"/>
  <c r="J1415" i="6"/>
  <c r="K1415" i="6" s="1"/>
  <c r="I1415" i="6"/>
  <c r="H1415" i="6"/>
  <c r="O1414" i="6"/>
  <c r="L1414" i="6"/>
  <c r="M1414" i="6" s="1"/>
  <c r="I1414" i="6"/>
  <c r="H1414" i="6"/>
  <c r="Q1288" i="6"/>
  <c r="T1288" i="6" s="1"/>
  <c r="O1288" i="6"/>
  <c r="J1288" i="6"/>
  <c r="K1288" i="6" s="1"/>
  <c r="I1288" i="6"/>
  <c r="H1288" i="6"/>
  <c r="Q1287" i="6"/>
  <c r="T1287" i="6" s="1"/>
  <c r="O1287" i="6"/>
  <c r="J1287" i="6"/>
  <c r="K1287" i="6" s="1"/>
  <c r="I1287" i="6"/>
  <c r="H1287" i="6"/>
  <c r="T1352" i="6"/>
  <c r="H1352" i="6"/>
  <c r="T1430" i="6"/>
  <c r="H1430" i="6"/>
  <c r="T1326" i="6"/>
  <c r="H1326" i="6"/>
  <c r="X1356" i="6" l="1"/>
  <c r="X1382" i="6"/>
  <c r="X1357" i="6" l="1"/>
  <c r="X1383" i="6"/>
  <c r="X1358" i="6" l="1"/>
  <c r="X1384" i="6"/>
  <c r="X1359" i="6" l="1"/>
  <c r="X1385" i="6"/>
  <c r="X1360" i="6" l="1"/>
  <c r="X1386" i="6"/>
  <c r="X1361" i="6" l="1"/>
  <c r="X1387" i="6"/>
  <c r="X1362" i="6" l="1"/>
  <c r="X1388" i="6"/>
  <c r="X1363" i="6" l="1"/>
  <c r="X1364" i="6" s="1"/>
  <c r="X1389" i="6"/>
  <c r="X1390" i="6" l="1"/>
  <c r="X1365" i="6" l="1"/>
  <c r="X1391" i="6"/>
  <c r="X1366" i="6" l="1"/>
  <c r="X1392" i="6"/>
  <c r="X1367" i="6" l="1"/>
  <c r="X1393" i="6"/>
  <c r="X1368" i="6" l="1"/>
  <c r="X1394" i="6"/>
  <c r="X1369" i="6" l="1"/>
  <c r="X1395" i="6"/>
  <c r="X1370" i="6" l="1"/>
  <c r="X1396" i="6"/>
  <c r="X1371" i="6" l="1"/>
  <c r="X1397" i="6"/>
  <c r="X1372" i="6" l="1"/>
  <c r="X1398" i="6"/>
  <c r="X1373" i="6" l="1"/>
  <c r="X1399" i="6"/>
  <c r="X1374" i="6" l="1"/>
  <c r="X1400" i="6"/>
  <c r="X1375" i="6" l="1"/>
  <c r="X1401" i="6"/>
  <c r="X1376" i="6" l="1"/>
  <c r="X1402" i="6"/>
  <c r="X1377" i="6" l="1"/>
  <c r="X1403" i="6"/>
  <c r="X1378" i="6" l="1"/>
  <c r="X1404" i="6"/>
  <c r="X1379" i="6" l="1"/>
  <c r="X1405" i="6"/>
  <c r="T1300" i="6" l="1"/>
  <c r="H1300" i="6"/>
  <c r="Q1286" i="6"/>
  <c r="T1286" i="6" s="1"/>
  <c r="O1286" i="6"/>
  <c r="J1286" i="6"/>
  <c r="K1286" i="6" s="1"/>
  <c r="I1286" i="6"/>
  <c r="H1286" i="6"/>
  <c r="Q1285" i="6"/>
  <c r="T1285" i="6" s="1"/>
  <c r="O1285" i="6"/>
  <c r="J1285" i="6"/>
  <c r="K1285" i="6" s="1"/>
  <c r="I1285" i="6"/>
  <c r="H1285" i="6"/>
  <c r="O1284" i="6"/>
  <c r="L1284" i="6"/>
  <c r="M1284" i="6" s="1"/>
  <c r="I1284" i="6"/>
  <c r="H1284" i="6"/>
  <c r="Q1260" i="6"/>
  <c r="T1260" i="6" s="1"/>
  <c r="O1260" i="6"/>
  <c r="J1260" i="6"/>
  <c r="K1260" i="6" s="1"/>
  <c r="I1260" i="6"/>
  <c r="H1260" i="6"/>
  <c r="O1259" i="6"/>
  <c r="I1259" i="6"/>
  <c r="H1259" i="6"/>
  <c r="Q1259" i="6" s="1"/>
  <c r="T1259" i="6" s="1"/>
  <c r="C1332" i="6"/>
  <c r="C1331" i="6"/>
  <c r="H1331" i="6" s="1"/>
  <c r="C1330" i="6"/>
  <c r="H1330" i="6" s="1"/>
  <c r="C1410" i="6"/>
  <c r="C1409" i="6"/>
  <c r="C1408" i="6"/>
  <c r="C1306" i="6"/>
  <c r="H1306" i="6" s="1"/>
  <c r="C1305" i="6"/>
  <c r="C1304" i="6"/>
  <c r="C1280" i="6"/>
  <c r="C1279" i="6"/>
  <c r="C1278" i="6"/>
  <c r="H1278" i="6" s="1"/>
  <c r="C1254" i="6"/>
  <c r="H1254" i="6" s="1"/>
  <c r="C1253" i="6"/>
  <c r="C1252" i="6"/>
  <c r="H1252" i="6" s="1"/>
  <c r="T1275" i="6"/>
  <c r="H1275" i="6"/>
  <c r="T1274" i="6"/>
  <c r="H1274" i="6"/>
  <c r="T1273" i="6"/>
  <c r="H1273" i="6"/>
  <c r="T1272" i="6"/>
  <c r="H1272" i="6"/>
  <c r="T1271" i="6"/>
  <c r="H1271" i="6"/>
  <c r="T1270" i="6"/>
  <c r="H1270" i="6"/>
  <c r="T1269" i="6"/>
  <c r="H1269" i="6"/>
  <c r="T1268" i="6"/>
  <c r="H1268" i="6"/>
  <c r="T1267" i="6"/>
  <c r="H1267" i="6"/>
  <c r="T1266" i="6"/>
  <c r="H1266" i="6"/>
  <c r="T1265" i="6"/>
  <c r="H1265" i="6"/>
  <c r="T1264" i="6"/>
  <c r="H1264" i="6"/>
  <c r="T1263" i="6"/>
  <c r="H1263" i="6"/>
  <c r="T1262" i="6"/>
  <c r="H1262" i="6"/>
  <c r="T1261" i="6"/>
  <c r="H1261" i="6"/>
  <c r="O1258" i="6"/>
  <c r="L1258" i="6"/>
  <c r="M1258" i="6" s="1"/>
  <c r="I1258" i="6"/>
  <c r="H1258" i="6"/>
  <c r="T1257" i="6"/>
  <c r="H1257" i="6"/>
  <c r="T1256" i="6"/>
  <c r="H1256" i="6"/>
  <c r="T1255" i="6"/>
  <c r="H1255" i="6"/>
  <c r="T1253" i="6"/>
  <c r="H1253" i="6"/>
  <c r="T1252" i="6"/>
  <c r="T1251" i="6"/>
  <c r="X1250" i="6"/>
  <c r="X1251" i="6" s="1"/>
  <c r="T1250" i="6"/>
  <c r="H1250" i="6"/>
  <c r="T1301" i="6"/>
  <c r="H1301" i="6"/>
  <c r="T1299" i="6"/>
  <c r="H1299" i="6"/>
  <c r="T1298" i="6"/>
  <c r="H1298" i="6"/>
  <c r="T1297" i="6"/>
  <c r="H1297" i="6"/>
  <c r="T1296" i="6"/>
  <c r="H1296" i="6"/>
  <c r="T1295" i="6"/>
  <c r="H1295" i="6"/>
  <c r="T1294" i="6"/>
  <c r="H1294" i="6"/>
  <c r="T1293" i="6"/>
  <c r="H1293" i="6"/>
  <c r="T1292" i="6"/>
  <c r="H1292" i="6"/>
  <c r="T1291" i="6"/>
  <c r="H1291" i="6"/>
  <c r="T1290" i="6"/>
  <c r="H1290" i="6"/>
  <c r="T1289" i="6"/>
  <c r="H1289" i="6"/>
  <c r="T1283" i="6"/>
  <c r="H1283" i="6"/>
  <c r="T1282" i="6"/>
  <c r="H1282" i="6"/>
  <c r="T1281" i="6"/>
  <c r="H1281" i="6"/>
  <c r="H1280" i="6"/>
  <c r="T1279" i="6"/>
  <c r="H1279" i="6"/>
  <c r="T1278" i="6"/>
  <c r="T1277" i="6"/>
  <c r="X1276" i="6"/>
  <c r="X1277" i="6" s="1"/>
  <c r="T1276" i="6"/>
  <c r="H1276" i="6"/>
  <c r="T1327" i="6"/>
  <c r="H1327" i="6"/>
  <c r="T1325" i="6"/>
  <c r="H1325" i="6"/>
  <c r="T1324" i="6"/>
  <c r="H1324" i="6"/>
  <c r="T1323" i="6"/>
  <c r="H1323" i="6"/>
  <c r="T1322" i="6"/>
  <c r="H1322" i="6"/>
  <c r="T1321" i="6"/>
  <c r="H1321" i="6"/>
  <c r="T1320" i="6"/>
  <c r="H1320" i="6"/>
  <c r="T1319" i="6"/>
  <c r="H1319" i="6"/>
  <c r="T1318" i="6"/>
  <c r="H1318" i="6"/>
  <c r="T1317" i="6"/>
  <c r="H1317" i="6"/>
  <c r="T1316" i="6"/>
  <c r="H1316" i="6"/>
  <c r="T1315" i="6"/>
  <c r="H1315" i="6"/>
  <c r="T1314" i="6"/>
  <c r="H1314" i="6"/>
  <c r="T1313" i="6"/>
  <c r="H1313" i="6"/>
  <c r="O1310" i="6"/>
  <c r="L1310" i="6"/>
  <c r="M1310" i="6" s="1"/>
  <c r="I1310" i="6"/>
  <c r="H1310" i="6"/>
  <c r="T1309" i="6"/>
  <c r="H1309" i="6"/>
  <c r="T1308" i="6"/>
  <c r="H1308" i="6"/>
  <c r="T1307" i="6"/>
  <c r="H1307" i="6"/>
  <c r="T1305" i="6"/>
  <c r="H1305" i="6"/>
  <c r="T1304" i="6"/>
  <c r="H1304" i="6"/>
  <c r="T1303" i="6"/>
  <c r="X1302" i="6"/>
  <c r="X1303" i="6" s="1"/>
  <c r="T1302" i="6"/>
  <c r="H1302" i="6"/>
  <c r="T1431" i="6"/>
  <c r="H1431" i="6"/>
  <c r="T1429" i="6"/>
  <c r="H1429" i="6"/>
  <c r="T1428" i="6"/>
  <c r="H1428" i="6"/>
  <c r="T1427" i="6"/>
  <c r="H1427" i="6"/>
  <c r="T1426" i="6"/>
  <c r="H1426" i="6"/>
  <c r="T1425" i="6"/>
  <c r="H1425" i="6"/>
  <c r="T1424" i="6"/>
  <c r="H1424" i="6"/>
  <c r="T1423" i="6"/>
  <c r="H1423" i="6"/>
  <c r="T1422" i="6"/>
  <c r="H1422" i="6"/>
  <c r="T1413" i="6"/>
  <c r="H1413" i="6"/>
  <c r="T1412" i="6"/>
  <c r="H1412" i="6"/>
  <c r="T1411" i="6"/>
  <c r="H1411" i="6"/>
  <c r="H1410" i="6"/>
  <c r="T1409" i="6"/>
  <c r="H1409" i="6"/>
  <c r="T1408" i="6"/>
  <c r="H1408" i="6"/>
  <c r="T1407" i="6"/>
  <c r="X1406" i="6"/>
  <c r="X1407" i="6" s="1"/>
  <c r="T1406" i="6"/>
  <c r="H1406" i="6"/>
  <c r="T1353" i="6"/>
  <c r="H1353" i="6"/>
  <c r="T1351" i="6"/>
  <c r="H1351" i="6"/>
  <c r="T1350" i="6"/>
  <c r="H1350" i="6"/>
  <c r="T1349" i="6"/>
  <c r="H1349" i="6"/>
  <c r="T1348" i="6"/>
  <c r="H1348" i="6"/>
  <c r="T1347" i="6"/>
  <c r="H1347" i="6"/>
  <c r="T1346" i="6"/>
  <c r="H1346" i="6"/>
  <c r="T1345" i="6"/>
  <c r="H1345" i="6"/>
  <c r="T1344" i="6"/>
  <c r="H1344" i="6"/>
  <c r="T1343" i="6"/>
  <c r="H1343" i="6"/>
  <c r="T1342" i="6"/>
  <c r="H1342" i="6"/>
  <c r="T1335" i="6"/>
  <c r="H1335" i="6"/>
  <c r="T1334" i="6"/>
  <c r="H1334" i="6"/>
  <c r="T1333" i="6"/>
  <c r="H1333" i="6"/>
  <c r="H1332" i="6"/>
  <c r="T1331" i="6"/>
  <c r="T1330" i="6"/>
  <c r="T1329" i="6"/>
  <c r="X1328" i="6"/>
  <c r="X1329" i="6" s="1"/>
  <c r="T1328" i="6"/>
  <c r="H1328" i="6"/>
  <c r="A58" i="35"/>
  <c r="A61" i="35"/>
  <c r="A57" i="35"/>
  <c r="A56" i="35"/>
  <c r="A55" i="35"/>
  <c r="J1259" i="6" l="1"/>
  <c r="K1259" i="6" s="1"/>
  <c r="X1252" i="6"/>
  <c r="X1278" i="6"/>
  <c r="X1304" i="6"/>
  <c r="X1408" i="6"/>
  <c r="X1330" i="6"/>
  <c r="X1253" i="6" l="1"/>
  <c r="X1279" i="6"/>
  <c r="X1305" i="6"/>
  <c r="X1409" i="6"/>
  <c r="X1331" i="6"/>
  <c r="X1254" i="6" l="1"/>
  <c r="X1280" i="6"/>
  <c r="X1306" i="6"/>
  <c r="X1410" i="6"/>
  <c r="X1332" i="6"/>
  <c r="X1255" i="6" l="1"/>
  <c r="X1281" i="6"/>
  <c r="X1307" i="6"/>
  <c r="X1411" i="6"/>
  <c r="X1333" i="6"/>
  <c r="X1256" i="6" l="1"/>
  <c r="X1282" i="6"/>
  <c r="X1308" i="6"/>
  <c r="X1412" i="6"/>
  <c r="X1334" i="6"/>
  <c r="X1257" i="6" l="1"/>
  <c r="X1283" i="6"/>
  <c r="X1284" i="6" s="1"/>
  <c r="X1285" i="6" s="1"/>
  <c r="X1286" i="6" s="1"/>
  <c r="X1287" i="6" s="1"/>
  <c r="X1288" i="6" s="1"/>
  <c r="X1309" i="6"/>
  <c r="X1413" i="6"/>
  <c r="X1414" i="6" s="1"/>
  <c r="X1415" i="6" s="1"/>
  <c r="X1416" i="6" s="1"/>
  <c r="X1417" i="6" s="1"/>
  <c r="X1418" i="6" s="1"/>
  <c r="X1419" i="6" s="1"/>
  <c r="X1420" i="6" s="1"/>
  <c r="X1421" i="6" s="1"/>
  <c r="X1335" i="6"/>
  <c r="X1336" i="6" s="1"/>
  <c r="X1337" i="6" s="1"/>
  <c r="X1338" i="6" s="1"/>
  <c r="X1339" i="6" s="1"/>
  <c r="X1340" i="6" l="1"/>
  <c r="X1341" i="6" s="1"/>
  <c r="X1258" i="6"/>
  <c r="X1259" i="6" s="1"/>
  <c r="X1260" i="6" s="1"/>
  <c r="X1310" i="6"/>
  <c r="X1311" i="6" s="1"/>
  <c r="X1312" i="6" s="1"/>
  <c r="X1261" i="6" l="1"/>
  <c r="X1313" i="6"/>
  <c r="X1262" i="6" l="1"/>
  <c r="X1314" i="6"/>
  <c r="X1263" i="6" l="1"/>
  <c r="X1289" i="6"/>
  <c r="X1315" i="6"/>
  <c r="X1264" i="6" l="1"/>
  <c r="X1290" i="6"/>
  <c r="X1316" i="6"/>
  <c r="X1342" i="6"/>
  <c r="X1265" i="6" l="1"/>
  <c r="X1291" i="6"/>
  <c r="X1317" i="6"/>
  <c r="X1343" i="6"/>
  <c r="X1266" i="6" l="1"/>
  <c r="X1292" i="6"/>
  <c r="X1318" i="6"/>
  <c r="X1422" i="6"/>
  <c r="X1344" i="6"/>
  <c r="X1267" i="6" l="1"/>
  <c r="X1293" i="6"/>
  <c r="X1319" i="6"/>
  <c r="X1423" i="6"/>
  <c r="X1345" i="6"/>
  <c r="X1268" i="6" l="1"/>
  <c r="X1294" i="6"/>
  <c r="X1320" i="6"/>
  <c r="X1424" i="6"/>
  <c r="X1346" i="6"/>
  <c r="X1269" i="6" l="1"/>
  <c r="X1295" i="6"/>
  <c r="X1321" i="6"/>
  <c r="X1425" i="6"/>
  <c r="X1347" i="6"/>
  <c r="X1270" i="6" l="1"/>
  <c r="X1296" i="6"/>
  <c r="X1322" i="6"/>
  <c r="X1426" i="6"/>
  <c r="X1348" i="6"/>
  <c r="X1271" i="6" l="1"/>
  <c r="X1297" i="6"/>
  <c r="X1323" i="6"/>
  <c r="X1427" i="6"/>
  <c r="X1349" i="6"/>
  <c r="X1272" i="6" l="1"/>
  <c r="X1298" i="6"/>
  <c r="X1324" i="6"/>
  <c r="X1428" i="6"/>
  <c r="X1350" i="6"/>
  <c r="X1273" i="6" l="1"/>
  <c r="X1299" i="6"/>
  <c r="X1300" i="6" s="1"/>
  <c r="X1325" i="6"/>
  <c r="X1326" i="6" s="1"/>
  <c r="X1429" i="6"/>
  <c r="X1430" i="6" s="1"/>
  <c r="X1351" i="6"/>
  <c r="X1352" i="6" s="1"/>
  <c r="X1274" i="6" l="1"/>
  <c r="X1275" i="6" l="1"/>
  <c r="X1301" i="6"/>
  <c r="X1327" i="6"/>
  <c r="X1431" i="6"/>
  <c r="X1353" i="6"/>
  <c r="D182" i="44" l="1"/>
  <c r="D181" i="40" s="1"/>
  <c r="A182" i="44"/>
  <c r="A181" i="40" s="1"/>
  <c r="U203" i="44"/>
  <c r="U202" i="44"/>
  <c r="U183" i="44"/>
  <c r="U182" i="44"/>
  <c r="I203" i="44"/>
  <c r="W203" i="44"/>
  <c r="J16" i="40" l="1"/>
  <c r="H16" i="40"/>
  <c r="G16" i="40"/>
  <c r="F16" i="40"/>
  <c r="D16" i="40"/>
  <c r="B16" i="40"/>
  <c r="A16" i="40"/>
  <c r="J15" i="40"/>
  <c r="H15" i="40"/>
  <c r="G15" i="40"/>
  <c r="F15" i="40"/>
  <c r="D15" i="40"/>
  <c r="B15" i="40"/>
  <c r="A15" i="40"/>
  <c r="J14" i="40"/>
  <c r="H14" i="40"/>
  <c r="G14" i="40"/>
  <c r="F14" i="40"/>
  <c r="D14" i="40"/>
  <c r="B14" i="40"/>
  <c r="A14" i="40"/>
  <c r="J13" i="40"/>
  <c r="H13" i="40"/>
  <c r="G13" i="40"/>
  <c r="F13" i="40"/>
  <c r="D13" i="40"/>
  <c r="B13" i="40"/>
  <c r="A13" i="40"/>
  <c r="J12" i="40"/>
  <c r="H12" i="40"/>
  <c r="G12" i="40"/>
  <c r="F12" i="40"/>
  <c r="D12" i="40"/>
  <c r="B12" i="40"/>
  <c r="A12" i="40"/>
  <c r="U17" i="44"/>
  <c r="U16" i="44"/>
  <c r="U15" i="44"/>
  <c r="U14" i="44"/>
  <c r="U13" i="44"/>
  <c r="U36" i="44"/>
  <c r="R101" i="7"/>
  <c r="A101" i="7"/>
  <c r="O32" i="44" l="1"/>
  <c r="M32" i="44"/>
  <c r="I35" i="44"/>
  <c r="I34" i="44"/>
  <c r="U33" i="44"/>
  <c r="G141" i="6"/>
  <c r="G140" i="6"/>
  <c r="C136" i="6"/>
  <c r="C135" i="6"/>
  <c r="H135" i="6" s="1"/>
  <c r="C134" i="6"/>
  <c r="H134" i="6" s="1"/>
  <c r="G115" i="6"/>
  <c r="G114" i="6"/>
  <c r="T157" i="6"/>
  <c r="H157" i="6"/>
  <c r="T156" i="6"/>
  <c r="H156" i="6"/>
  <c r="T155" i="6"/>
  <c r="H155" i="6"/>
  <c r="T154" i="6"/>
  <c r="H154" i="6"/>
  <c r="T153" i="6"/>
  <c r="H153" i="6"/>
  <c r="T152" i="6"/>
  <c r="H152" i="6"/>
  <c r="T151" i="6"/>
  <c r="H151" i="6"/>
  <c r="T150" i="6"/>
  <c r="H150" i="6"/>
  <c r="T149" i="6"/>
  <c r="H149" i="6"/>
  <c r="T148" i="6"/>
  <c r="H148" i="6"/>
  <c r="T147" i="6"/>
  <c r="H147" i="6"/>
  <c r="T146" i="6"/>
  <c r="H146" i="6"/>
  <c r="T145" i="6"/>
  <c r="H145" i="6"/>
  <c r="T144" i="6"/>
  <c r="H144" i="6"/>
  <c r="T143" i="6"/>
  <c r="O143" i="6"/>
  <c r="L143" i="6"/>
  <c r="M143" i="6" s="1"/>
  <c r="H143" i="6"/>
  <c r="Q142" i="6"/>
  <c r="T142" i="6" s="1"/>
  <c r="O142" i="6"/>
  <c r="J142" i="6"/>
  <c r="K142" i="6" s="1"/>
  <c r="I142" i="6"/>
  <c r="H142" i="6"/>
  <c r="Q141" i="6"/>
  <c r="T141" i="6" s="1"/>
  <c r="O141" i="6"/>
  <c r="J141" i="6"/>
  <c r="K141" i="6" s="1"/>
  <c r="I141" i="6"/>
  <c r="H141" i="6"/>
  <c r="Q140" i="6"/>
  <c r="T140" i="6" s="1"/>
  <c r="O140" i="6"/>
  <c r="J140" i="6"/>
  <c r="K140" i="6" s="1"/>
  <c r="I140" i="6"/>
  <c r="H140" i="6"/>
  <c r="T139" i="6"/>
  <c r="H139" i="6"/>
  <c r="T138" i="6"/>
  <c r="H138" i="6"/>
  <c r="T137" i="6"/>
  <c r="H137" i="6"/>
  <c r="H136" i="6"/>
  <c r="T135" i="6"/>
  <c r="T134" i="6"/>
  <c r="T133" i="6"/>
  <c r="X132" i="6"/>
  <c r="X133" i="6" s="1"/>
  <c r="X134" i="6" s="1"/>
  <c r="T132" i="6"/>
  <c r="H132" i="6"/>
  <c r="T119" i="6"/>
  <c r="H119" i="6"/>
  <c r="T118" i="6"/>
  <c r="H118" i="6"/>
  <c r="C110" i="6"/>
  <c r="H110" i="6" s="1"/>
  <c r="C109" i="6"/>
  <c r="H109" i="6" s="1"/>
  <c r="C108" i="6"/>
  <c r="H108" i="6" s="1"/>
  <c r="T131" i="6"/>
  <c r="H131" i="6"/>
  <c r="T130" i="6"/>
  <c r="H130" i="6"/>
  <c r="T129" i="6"/>
  <c r="H129" i="6"/>
  <c r="T128" i="6"/>
  <c r="H128" i="6"/>
  <c r="T127" i="6"/>
  <c r="H127" i="6"/>
  <c r="T126" i="6"/>
  <c r="H126" i="6"/>
  <c r="T125" i="6"/>
  <c r="H125" i="6"/>
  <c r="T124" i="6"/>
  <c r="H124" i="6"/>
  <c r="T123" i="6"/>
  <c r="H123" i="6"/>
  <c r="T122" i="6"/>
  <c r="H122" i="6"/>
  <c r="T121" i="6"/>
  <c r="H121" i="6"/>
  <c r="T120" i="6"/>
  <c r="H120" i="6"/>
  <c r="O117" i="6"/>
  <c r="L117" i="6"/>
  <c r="M117" i="6" s="1"/>
  <c r="H117" i="6"/>
  <c r="Q116" i="6"/>
  <c r="T116" i="6" s="1"/>
  <c r="O116" i="6"/>
  <c r="J116" i="6"/>
  <c r="K116" i="6" s="1"/>
  <c r="I116" i="6"/>
  <c r="H116" i="6"/>
  <c r="Q115" i="6"/>
  <c r="T115" i="6" s="1"/>
  <c r="O115" i="6"/>
  <c r="I115" i="6"/>
  <c r="H115" i="6"/>
  <c r="J115" i="6" s="1"/>
  <c r="K115" i="6" s="1"/>
  <c r="Q114" i="6"/>
  <c r="T114" i="6" s="1"/>
  <c r="O114" i="6"/>
  <c r="I114" i="6"/>
  <c r="H114" i="6"/>
  <c r="J114" i="6" s="1"/>
  <c r="K114" i="6" s="1"/>
  <c r="T113" i="6"/>
  <c r="H113" i="6"/>
  <c r="T112" i="6"/>
  <c r="H112" i="6"/>
  <c r="T111" i="6"/>
  <c r="H111" i="6"/>
  <c r="T109" i="6"/>
  <c r="T108" i="6"/>
  <c r="T107" i="6"/>
  <c r="X106" i="6"/>
  <c r="X107" i="6" s="1"/>
  <c r="X108" i="6" s="1"/>
  <c r="X109" i="6" s="1"/>
  <c r="T106" i="6"/>
  <c r="H106" i="6"/>
  <c r="A10" i="35"/>
  <c r="A11" i="35"/>
  <c r="U181" i="44"/>
  <c r="U180" i="44"/>
  <c r="U179" i="44"/>
  <c r="U178" i="44"/>
  <c r="U177" i="44"/>
  <c r="U174" i="44"/>
  <c r="U172" i="44"/>
  <c r="U170" i="44"/>
  <c r="U168" i="44"/>
  <c r="U160" i="44"/>
  <c r="U159" i="44"/>
  <c r="U158" i="44"/>
  <c r="U157" i="44"/>
  <c r="U156" i="44"/>
  <c r="U155" i="44"/>
  <c r="U154" i="44"/>
  <c r="U153" i="44"/>
  <c r="U152" i="44"/>
  <c r="U151" i="44"/>
  <c r="U150" i="44"/>
  <c r="U149" i="44"/>
  <c r="U148" i="44"/>
  <c r="U147" i="44"/>
  <c r="U146" i="44"/>
  <c r="U145" i="44"/>
  <c r="U143" i="44"/>
  <c r="U141" i="44"/>
  <c r="U139" i="44"/>
  <c r="U137" i="44"/>
  <c r="U135" i="44"/>
  <c r="U133" i="44"/>
  <c r="U130" i="44"/>
  <c r="U128" i="44"/>
  <c r="U124" i="44"/>
  <c r="U120" i="44"/>
  <c r="U117" i="44"/>
  <c r="U114" i="44"/>
  <c r="U113" i="44"/>
  <c r="U109" i="44"/>
  <c r="U105" i="44"/>
  <c r="U102" i="44"/>
  <c r="U99" i="44"/>
  <c r="U96" i="44"/>
  <c r="U95" i="44"/>
  <c r="U92" i="44"/>
  <c r="U84" i="44"/>
  <c r="U80" i="44"/>
  <c r="U74" i="44"/>
  <c r="U73" i="44"/>
  <c r="U72" i="44"/>
  <c r="U44" i="44"/>
  <c r="U43" i="44"/>
  <c r="U42" i="44"/>
  <c r="U41" i="44"/>
  <c r="U40" i="44"/>
  <c r="U39" i="44"/>
  <c r="U38" i="44"/>
  <c r="U29" i="44"/>
  <c r="U28" i="44"/>
  <c r="U71" i="44"/>
  <c r="U70" i="44"/>
  <c r="U69" i="44"/>
  <c r="U63" i="44"/>
  <c r="U56" i="44"/>
  <c r="U51" i="44"/>
  <c r="U50" i="44"/>
  <c r="U27" i="44"/>
  <c r="U26" i="44"/>
  <c r="U25" i="44"/>
  <c r="U24" i="44"/>
  <c r="U49" i="44"/>
  <c r="U48" i="44"/>
  <c r="U45" i="44"/>
  <c r="U23" i="44"/>
  <c r="U22" i="44"/>
  <c r="U21" i="44"/>
  <c r="U20" i="44"/>
  <c r="U19" i="44"/>
  <c r="U18" i="44"/>
  <c r="O154" i="6" l="1"/>
  <c r="N136" i="6" s="1"/>
  <c r="X135" i="6"/>
  <c r="O128" i="6"/>
  <c r="N110" i="6" s="1"/>
  <c r="X110" i="6"/>
  <c r="T117" i="6"/>
  <c r="B4" i="7"/>
  <c r="P24" i="1"/>
  <c r="P23" i="1"/>
  <c r="P10" i="1"/>
  <c r="G45" i="6"/>
  <c r="G44" i="6"/>
  <c r="G43" i="6"/>
  <c r="G42" i="6"/>
  <c r="G41" i="6"/>
  <c r="G40" i="6"/>
  <c r="G39" i="6"/>
  <c r="G38" i="6"/>
  <c r="G37" i="6"/>
  <c r="G36" i="6"/>
  <c r="X136" i="6" l="1"/>
  <c r="X111" i="6"/>
  <c r="G530" i="6"/>
  <c r="G246" i="6"/>
  <c r="G247" i="6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A9" i="40"/>
  <c r="B9" i="40"/>
  <c r="D9" i="40"/>
  <c r="F9" i="40"/>
  <c r="G9" i="40"/>
  <c r="J9" i="40"/>
  <c r="A10" i="40"/>
  <c r="B10" i="40"/>
  <c r="D10" i="40"/>
  <c r="F10" i="40"/>
  <c r="G10" i="40"/>
  <c r="J10" i="40"/>
  <c r="A11" i="40"/>
  <c r="B11" i="40"/>
  <c r="D11" i="40"/>
  <c r="F11" i="40"/>
  <c r="G11" i="40"/>
  <c r="H11" i="40"/>
  <c r="J11" i="40"/>
  <c r="A17" i="40"/>
  <c r="B17" i="40"/>
  <c r="D17" i="40"/>
  <c r="F17" i="40"/>
  <c r="G17" i="40"/>
  <c r="H17" i="40"/>
  <c r="J17" i="40"/>
  <c r="A18" i="40"/>
  <c r="B18" i="40"/>
  <c r="D18" i="40"/>
  <c r="F18" i="40"/>
  <c r="G18" i="40"/>
  <c r="H18" i="40"/>
  <c r="J18" i="40"/>
  <c r="A19" i="40"/>
  <c r="B19" i="40"/>
  <c r="D19" i="40"/>
  <c r="F19" i="40"/>
  <c r="G19" i="40"/>
  <c r="H19" i="40"/>
  <c r="J19" i="40"/>
  <c r="A20" i="40"/>
  <c r="B20" i="40"/>
  <c r="D20" i="40"/>
  <c r="F20" i="40"/>
  <c r="G20" i="40"/>
  <c r="H20" i="40"/>
  <c r="J20" i="40"/>
  <c r="A21" i="40"/>
  <c r="B21" i="40"/>
  <c r="D21" i="40"/>
  <c r="F21" i="40"/>
  <c r="G21" i="40"/>
  <c r="H21" i="40"/>
  <c r="J21" i="40"/>
  <c r="A22" i="40"/>
  <c r="B22" i="40"/>
  <c r="D22" i="40"/>
  <c r="F22" i="40"/>
  <c r="G22" i="40"/>
  <c r="H22" i="40"/>
  <c r="J22" i="40"/>
  <c r="B44" i="40"/>
  <c r="F44" i="40"/>
  <c r="G44" i="40"/>
  <c r="H44" i="40"/>
  <c r="J44" i="40"/>
  <c r="A45" i="40"/>
  <c r="B45" i="40"/>
  <c r="D45" i="40"/>
  <c r="F45" i="40"/>
  <c r="G45" i="40"/>
  <c r="H45" i="40"/>
  <c r="J45" i="40"/>
  <c r="A46" i="40"/>
  <c r="B46" i="40"/>
  <c r="D46" i="40"/>
  <c r="F46" i="40"/>
  <c r="G46" i="40"/>
  <c r="H46" i="40"/>
  <c r="J46" i="40"/>
  <c r="A47" i="40"/>
  <c r="B47" i="40"/>
  <c r="D47" i="40"/>
  <c r="F47" i="40"/>
  <c r="G47" i="40"/>
  <c r="H47" i="40"/>
  <c r="J47" i="40"/>
  <c r="A48" i="40"/>
  <c r="B48" i="40"/>
  <c r="D48" i="40"/>
  <c r="F48" i="40"/>
  <c r="G48" i="40"/>
  <c r="H48" i="40"/>
  <c r="J48" i="40"/>
  <c r="B23" i="40"/>
  <c r="D23" i="40"/>
  <c r="F23" i="40"/>
  <c r="G23" i="40"/>
  <c r="H23" i="40"/>
  <c r="J23" i="40"/>
  <c r="B24" i="40"/>
  <c r="D24" i="40"/>
  <c r="F24" i="40"/>
  <c r="G24" i="40"/>
  <c r="H24" i="40"/>
  <c r="J24" i="40"/>
  <c r="B25" i="40"/>
  <c r="D25" i="40"/>
  <c r="F25" i="40"/>
  <c r="G25" i="40"/>
  <c r="H25" i="40"/>
  <c r="J25" i="40"/>
  <c r="B26" i="40"/>
  <c r="D26" i="40"/>
  <c r="F26" i="40"/>
  <c r="G26" i="40"/>
  <c r="H26" i="40"/>
  <c r="J26" i="40"/>
  <c r="A49" i="40"/>
  <c r="B49" i="40"/>
  <c r="F49" i="40"/>
  <c r="G49" i="40"/>
  <c r="H49" i="40"/>
  <c r="J49" i="40"/>
  <c r="A50" i="40"/>
  <c r="B50" i="40"/>
  <c r="D50" i="40"/>
  <c r="F50" i="40"/>
  <c r="G50" i="40"/>
  <c r="H50" i="40"/>
  <c r="J50" i="40"/>
  <c r="A51" i="40"/>
  <c r="B51" i="40"/>
  <c r="D51" i="40"/>
  <c r="F51" i="40"/>
  <c r="G51" i="40"/>
  <c r="J51" i="40"/>
  <c r="A52" i="40"/>
  <c r="B52" i="40"/>
  <c r="D52" i="40"/>
  <c r="F52" i="40"/>
  <c r="G52" i="40"/>
  <c r="H52" i="40"/>
  <c r="J52" i="40"/>
  <c r="A53" i="40"/>
  <c r="B53" i="40"/>
  <c r="D53" i="40"/>
  <c r="F53" i="40"/>
  <c r="G53" i="40"/>
  <c r="H53" i="40"/>
  <c r="J53" i="40"/>
  <c r="A54" i="40"/>
  <c r="B54" i="40"/>
  <c r="D54" i="40"/>
  <c r="F54" i="40"/>
  <c r="G54" i="40"/>
  <c r="H54" i="40"/>
  <c r="J54" i="40"/>
  <c r="A55" i="40"/>
  <c r="B55" i="40"/>
  <c r="D55" i="40"/>
  <c r="F55" i="40"/>
  <c r="G55" i="40"/>
  <c r="H55" i="40"/>
  <c r="J55" i="40"/>
  <c r="A56" i="40"/>
  <c r="B56" i="40"/>
  <c r="D56" i="40"/>
  <c r="F56" i="40"/>
  <c r="G56" i="40"/>
  <c r="H56" i="40"/>
  <c r="J56" i="40"/>
  <c r="A57" i="40"/>
  <c r="B57" i="40"/>
  <c r="D57" i="40"/>
  <c r="F57" i="40"/>
  <c r="G57" i="40"/>
  <c r="H57" i="40"/>
  <c r="J57" i="40"/>
  <c r="A58" i="40"/>
  <c r="B58" i="40"/>
  <c r="D58" i="40"/>
  <c r="F58" i="40"/>
  <c r="G58" i="40"/>
  <c r="H58" i="40"/>
  <c r="J58" i="40"/>
  <c r="A59" i="40"/>
  <c r="B59" i="40"/>
  <c r="D59" i="40"/>
  <c r="F59" i="40"/>
  <c r="G59" i="40"/>
  <c r="H59" i="40"/>
  <c r="J59" i="40"/>
  <c r="A60" i="40"/>
  <c r="B60" i="40"/>
  <c r="D60" i="40"/>
  <c r="F60" i="40"/>
  <c r="G60" i="40"/>
  <c r="H60" i="40"/>
  <c r="J60" i="40"/>
  <c r="A61" i="40"/>
  <c r="B61" i="40"/>
  <c r="D61" i="40"/>
  <c r="F61" i="40"/>
  <c r="G61" i="40"/>
  <c r="H61" i="40"/>
  <c r="J61" i="40"/>
  <c r="A62" i="40"/>
  <c r="B62" i="40"/>
  <c r="D62" i="40"/>
  <c r="F62" i="40"/>
  <c r="G62" i="40"/>
  <c r="H62" i="40"/>
  <c r="J62" i="40"/>
  <c r="A63" i="40"/>
  <c r="B63" i="40"/>
  <c r="D63" i="40"/>
  <c r="F63" i="40"/>
  <c r="G63" i="40"/>
  <c r="H63" i="40"/>
  <c r="J63" i="40"/>
  <c r="A64" i="40"/>
  <c r="B64" i="40"/>
  <c r="D64" i="40"/>
  <c r="F64" i="40"/>
  <c r="G64" i="40"/>
  <c r="H64" i="40"/>
  <c r="J64" i="40"/>
  <c r="A65" i="40"/>
  <c r="B65" i="40"/>
  <c r="D65" i="40"/>
  <c r="F65" i="40"/>
  <c r="G65" i="40"/>
  <c r="H65" i="40"/>
  <c r="J65" i="40"/>
  <c r="A66" i="40"/>
  <c r="B66" i="40"/>
  <c r="D66" i="40"/>
  <c r="F66" i="40"/>
  <c r="G66" i="40"/>
  <c r="H66" i="40"/>
  <c r="J66" i="40"/>
  <c r="A67" i="40"/>
  <c r="B67" i="40"/>
  <c r="D67" i="40"/>
  <c r="F67" i="40"/>
  <c r="G67" i="40"/>
  <c r="H67" i="40"/>
  <c r="J67" i="40"/>
  <c r="A68" i="40"/>
  <c r="B68" i="40"/>
  <c r="D68" i="40"/>
  <c r="F68" i="40"/>
  <c r="G68" i="40"/>
  <c r="H68" i="40"/>
  <c r="J68" i="40"/>
  <c r="A69" i="40"/>
  <c r="B69" i="40"/>
  <c r="D69" i="40"/>
  <c r="F69" i="40"/>
  <c r="G69" i="40"/>
  <c r="H69" i="40"/>
  <c r="J69" i="40"/>
  <c r="A70" i="40"/>
  <c r="B70" i="40"/>
  <c r="D70" i="40"/>
  <c r="F70" i="40"/>
  <c r="G70" i="40"/>
  <c r="H70" i="40"/>
  <c r="J70" i="40"/>
  <c r="B27" i="40"/>
  <c r="F27" i="40"/>
  <c r="G27" i="40"/>
  <c r="H27" i="40"/>
  <c r="J27" i="40"/>
  <c r="A28" i="40"/>
  <c r="B28" i="40"/>
  <c r="D28" i="40"/>
  <c r="F28" i="40"/>
  <c r="G28" i="40"/>
  <c r="H28" i="40"/>
  <c r="J28" i="40"/>
  <c r="A29" i="40"/>
  <c r="B29" i="40"/>
  <c r="D29" i="40"/>
  <c r="F29" i="40"/>
  <c r="G29" i="40"/>
  <c r="H29" i="40"/>
  <c r="J29" i="40"/>
  <c r="A30" i="40"/>
  <c r="B30" i="40"/>
  <c r="D30" i="40"/>
  <c r="F30" i="40"/>
  <c r="G30" i="40"/>
  <c r="H30" i="40"/>
  <c r="J30" i="40"/>
  <c r="A31" i="40"/>
  <c r="B31" i="40"/>
  <c r="D31" i="40"/>
  <c r="F31" i="40"/>
  <c r="G31" i="40"/>
  <c r="H31" i="40"/>
  <c r="J31" i="40"/>
  <c r="A32" i="40"/>
  <c r="B32" i="40"/>
  <c r="D32" i="40"/>
  <c r="F32" i="40"/>
  <c r="G32" i="40"/>
  <c r="H32" i="40"/>
  <c r="J32" i="40"/>
  <c r="A33" i="40"/>
  <c r="B33" i="40"/>
  <c r="D33" i="40"/>
  <c r="F33" i="40"/>
  <c r="G33" i="40"/>
  <c r="H33" i="40"/>
  <c r="J33" i="40"/>
  <c r="A34" i="40"/>
  <c r="B34" i="40"/>
  <c r="D34" i="40"/>
  <c r="F34" i="40"/>
  <c r="G34" i="40"/>
  <c r="H34" i="40"/>
  <c r="J34" i="40"/>
  <c r="A35" i="40"/>
  <c r="B35" i="40"/>
  <c r="D35" i="40"/>
  <c r="F35" i="40"/>
  <c r="G35" i="40"/>
  <c r="H35" i="40"/>
  <c r="J35" i="40"/>
  <c r="A36" i="40"/>
  <c r="B36" i="40"/>
  <c r="D36" i="40"/>
  <c r="F36" i="40"/>
  <c r="G36" i="40"/>
  <c r="H36" i="40"/>
  <c r="J36" i="40"/>
  <c r="A37" i="40"/>
  <c r="B37" i="40"/>
  <c r="D37" i="40"/>
  <c r="F37" i="40"/>
  <c r="G37" i="40"/>
  <c r="H37" i="40"/>
  <c r="J37" i="40"/>
  <c r="A38" i="40"/>
  <c r="B38" i="40"/>
  <c r="D38" i="40"/>
  <c r="F38" i="40"/>
  <c r="G38" i="40"/>
  <c r="H38" i="40"/>
  <c r="J38" i="40"/>
  <c r="A39" i="40"/>
  <c r="B39" i="40"/>
  <c r="D39" i="40"/>
  <c r="F39" i="40"/>
  <c r="G39" i="40"/>
  <c r="H39" i="40"/>
  <c r="J39" i="40"/>
  <c r="A40" i="40"/>
  <c r="B40" i="40"/>
  <c r="D40" i="40"/>
  <c r="F40" i="40"/>
  <c r="G40" i="40"/>
  <c r="H40" i="40"/>
  <c r="J40" i="40"/>
  <c r="A41" i="40"/>
  <c r="B41" i="40"/>
  <c r="D41" i="40"/>
  <c r="F41" i="40"/>
  <c r="G41" i="40"/>
  <c r="H41" i="40"/>
  <c r="J41" i="40"/>
  <c r="A42" i="40"/>
  <c r="B42" i="40"/>
  <c r="D42" i="40"/>
  <c r="F42" i="40"/>
  <c r="G42" i="40"/>
  <c r="H42" i="40"/>
  <c r="J42" i="40"/>
  <c r="A43" i="40"/>
  <c r="B43" i="40"/>
  <c r="D43" i="40"/>
  <c r="F43" i="40"/>
  <c r="G43" i="40"/>
  <c r="H43" i="40"/>
  <c r="J43" i="40"/>
  <c r="B71" i="40"/>
  <c r="F71" i="40"/>
  <c r="G71" i="40"/>
  <c r="H71" i="40"/>
  <c r="J71" i="40"/>
  <c r="A72" i="40"/>
  <c r="B72" i="40"/>
  <c r="D72" i="40"/>
  <c r="F72" i="40"/>
  <c r="G72" i="40"/>
  <c r="H72" i="40"/>
  <c r="J72" i="40"/>
  <c r="A73" i="40"/>
  <c r="B73" i="40"/>
  <c r="D73" i="40"/>
  <c r="F73" i="40"/>
  <c r="G73" i="40"/>
  <c r="H73" i="40"/>
  <c r="J73" i="40"/>
  <c r="A74" i="40"/>
  <c r="B74" i="40"/>
  <c r="D74" i="40"/>
  <c r="F74" i="40"/>
  <c r="G74" i="40"/>
  <c r="H74" i="40"/>
  <c r="J74" i="40"/>
  <c r="A75" i="40"/>
  <c r="B75" i="40"/>
  <c r="D75" i="40"/>
  <c r="F75" i="40"/>
  <c r="G75" i="40"/>
  <c r="H75" i="40"/>
  <c r="J75" i="40"/>
  <c r="A76" i="40"/>
  <c r="B76" i="40"/>
  <c r="D76" i="40"/>
  <c r="F76" i="40"/>
  <c r="G76" i="40"/>
  <c r="H76" i="40"/>
  <c r="J76" i="40"/>
  <c r="A77" i="40"/>
  <c r="B77" i="40"/>
  <c r="D77" i="40"/>
  <c r="F77" i="40"/>
  <c r="G77" i="40"/>
  <c r="H77" i="40"/>
  <c r="J77" i="40"/>
  <c r="A78" i="40"/>
  <c r="B78" i="40"/>
  <c r="D78" i="40"/>
  <c r="F78" i="40"/>
  <c r="G78" i="40"/>
  <c r="H78" i="40"/>
  <c r="J78" i="40"/>
  <c r="A79" i="40"/>
  <c r="B79" i="40"/>
  <c r="D79" i="40"/>
  <c r="F79" i="40"/>
  <c r="G79" i="40"/>
  <c r="H79" i="40"/>
  <c r="J79" i="40"/>
  <c r="A80" i="40"/>
  <c r="B80" i="40"/>
  <c r="D80" i="40"/>
  <c r="F80" i="40"/>
  <c r="G80" i="40"/>
  <c r="H80" i="40"/>
  <c r="J80" i="40"/>
  <c r="A81" i="40"/>
  <c r="B81" i="40"/>
  <c r="D81" i="40"/>
  <c r="F81" i="40"/>
  <c r="G81" i="40"/>
  <c r="H81" i="40"/>
  <c r="J81" i="40"/>
  <c r="A82" i="40"/>
  <c r="B82" i="40"/>
  <c r="D82" i="40"/>
  <c r="F82" i="40"/>
  <c r="G82" i="40"/>
  <c r="H82" i="40"/>
  <c r="J82" i="40"/>
  <c r="A83" i="40"/>
  <c r="B83" i="40"/>
  <c r="D83" i="40"/>
  <c r="F83" i="40"/>
  <c r="G83" i="40"/>
  <c r="H83" i="40"/>
  <c r="J83" i="40"/>
  <c r="A84" i="40"/>
  <c r="B84" i="40"/>
  <c r="D84" i="40"/>
  <c r="F84" i="40"/>
  <c r="G84" i="40"/>
  <c r="H84" i="40"/>
  <c r="J84" i="40"/>
  <c r="A85" i="40"/>
  <c r="B85" i="40"/>
  <c r="D85" i="40"/>
  <c r="F85" i="40"/>
  <c r="G85" i="40"/>
  <c r="H85" i="40"/>
  <c r="J85" i="40"/>
  <c r="A86" i="40"/>
  <c r="B86" i="40"/>
  <c r="D86" i="40"/>
  <c r="F86" i="40"/>
  <c r="G86" i="40"/>
  <c r="H86" i="40"/>
  <c r="J86" i="40"/>
  <c r="A87" i="40"/>
  <c r="B87" i="40"/>
  <c r="D87" i="40"/>
  <c r="F87" i="40"/>
  <c r="G87" i="40"/>
  <c r="H87" i="40"/>
  <c r="J87" i="40"/>
  <c r="A88" i="40"/>
  <c r="B88" i="40"/>
  <c r="D88" i="40"/>
  <c r="F88" i="40"/>
  <c r="G88" i="40"/>
  <c r="H88" i="40"/>
  <c r="J88" i="40"/>
  <c r="A89" i="40"/>
  <c r="B89" i="40"/>
  <c r="D89" i="40"/>
  <c r="F89" i="40"/>
  <c r="G89" i="40"/>
  <c r="H89" i="40"/>
  <c r="J89" i="40"/>
  <c r="A90" i="40"/>
  <c r="B90" i="40"/>
  <c r="D90" i="40"/>
  <c r="F90" i="40"/>
  <c r="G90" i="40"/>
  <c r="H90" i="40"/>
  <c r="J90" i="40"/>
  <c r="A91" i="40"/>
  <c r="B91" i="40"/>
  <c r="D91" i="40"/>
  <c r="F91" i="40"/>
  <c r="G91" i="40"/>
  <c r="H91" i="40"/>
  <c r="J91" i="40"/>
  <c r="A92" i="40"/>
  <c r="B92" i="40"/>
  <c r="D92" i="40"/>
  <c r="F92" i="40"/>
  <c r="G92" i="40"/>
  <c r="H92" i="40"/>
  <c r="J92" i="40"/>
  <c r="A93" i="40"/>
  <c r="B93" i="40"/>
  <c r="D93" i="40"/>
  <c r="F93" i="40"/>
  <c r="G93" i="40"/>
  <c r="H93" i="40"/>
  <c r="J93" i="40"/>
  <c r="A94" i="40"/>
  <c r="B94" i="40"/>
  <c r="D94" i="40"/>
  <c r="F94" i="40"/>
  <c r="G94" i="40"/>
  <c r="H94" i="40"/>
  <c r="J94" i="40"/>
  <c r="A95" i="40"/>
  <c r="B95" i="40"/>
  <c r="D95" i="40"/>
  <c r="F95" i="40"/>
  <c r="G95" i="40"/>
  <c r="H95" i="40"/>
  <c r="J95" i="40"/>
  <c r="A96" i="40"/>
  <c r="B96" i="40"/>
  <c r="D96" i="40"/>
  <c r="F96" i="40"/>
  <c r="G96" i="40"/>
  <c r="H96" i="40"/>
  <c r="J96" i="40"/>
  <c r="A97" i="40"/>
  <c r="B97" i="40"/>
  <c r="D97" i="40"/>
  <c r="F97" i="40"/>
  <c r="G97" i="40"/>
  <c r="H97" i="40"/>
  <c r="J97" i="40"/>
  <c r="A98" i="40"/>
  <c r="B98" i="40"/>
  <c r="D98" i="40"/>
  <c r="F98" i="40"/>
  <c r="G98" i="40"/>
  <c r="H98" i="40"/>
  <c r="J98" i="40"/>
  <c r="A99" i="40"/>
  <c r="B99" i="40"/>
  <c r="D99" i="40"/>
  <c r="F99" i="40"/>
  <c r="G99" i="40"/>
  <c r="H99" i="40"/>
  <c r="J99" i="40"/>
  <c r="A100" i="40"/>
  <c r="B100" i="40"/>
  <c r="D100" i="40"/>
  <c r="F100" i="40"/>
  <c r="G100" i="40"/>
  <c r="H100" i="40"/>
  <c r="J100" i="40"/>
  <c r="A101" i="40"/>
  <c r="B101" i="40"/>
  <c r="D101" i="40"/>
  <c r="F101" i="40"/>
  <c r="G101" i="40"/>
  <c r="H101" i="40"/>
  <c r="J101" i="40"/>
  <c r="A102" i="40"/>
  <c r="B102" i="40"/>
  <c r="D102" i="40"/>
  <c r="F102" i="40"/>
  <c r="G102" i="40"/>
  <c r="H102" i="40"/>
  <c r="J102" i="40"/>
  <c r="A103" i="40"/>
  <c r="B103" i="40"/>
  <c r="D103" i="40"/>
  <c r="F103" i="40"/>
  <c r="G103" i="40"/>
  <c r="H103" i="40"/>
  <c r="J103" i="40"/>
  <c r="A104" i="40"/>
  <c r="B104" i="40"/>
  <c r="D104" i="40"/>
  <c r="F104" i="40"/>
  <c r="G104" i="40"/>
  <c r="H104" i="40"/>
  <c r="J104" i="40"/>
  <c r="A105" i="40"/>
  <c r="B105" i="40"/>
  <c r="D105" i="40"/>
  <c r="F105" i="40"/>
  <c r="G105" i="40"/>
  <c r="H105" i="40"/>
  <c r="J105" i="40"/>
  <c r="A106" i="40"/>
  <c r="B106" i="40"/>
  <c r="D106" i="40"/>
  <c r="F106" i="40"/>
  <c r="G106" i="40"/>
  <c r="H106" i="40"/>
  <c r="J106" i="40"/>
  <c r="A107" i="40"/>
  <c r="B107" i="40"/>
  <c r="D107" i="40"/>
  <c r="F107" i="40"/>
  <c r="G107" i="40"/>
  <c r="H107" i="40"/>
  <c r="J107" i="40"/>
  <c r="A108" i="40"/>
  <c r="B108" i="40"/>
  <c r="D108" i="40"/>
  <c r="F108" i="40"/>
  <c r="G108" i="40"/>
  <c r="H108" i="40"/>
  <c r="J108" i="40"/>
  <c r="A109" i="40"/>
  <c r="B109" i="40"/>
  <c r="D109" i="40"/>
  <c r="F109" i="40"/>
  <c r="G109" i="40"/>
  <c r="H109" i="40"/>
  <c r="J109" i="40"/>
  <c r="A110" i="40"/>
  <c r="B110" i="40"/>
  <c r="D110" i="40"/>
  <c r="F110" i="40"/>
  <c r="G110" i="40"/>
  <c r="H110" i="40"/>
  <c r="J110" i="40"/>
  <c r="A111" i="40"/>
  <c r="B111" i="40"/>
  <c r="D111" i="40"/>
  <c r="F111" i="40"/>
  <c r="G111" i="40"/>
  <c r="H111" i="40"/>
  <c r="J111" i="40"/>
  <c r="A112" i="40"/>
  <c r="B112" i="40"/>
  <c r="D112" i="40"/>
  <c r="F112" i="40"/>
  <c r="G112" i="40"/>
  <c r="H112" i="40"/>
  <c r="J112" i="40"/>
  <c r="A113" i="40"/>
  <c r="B113" i="40"/>
  <c r="D113" i="40"/>
  <c r="F113" i="40"/>
  <c r="G113" i="40"/>
  <c r="H113" i="40"/>
  <c r="J113" i="40"/>
  <c r="A114" i="40"/>
  <c r="B114" i="40"/>
  <c r="D114" i="40"/>
  <c r="F114" i="40"/>
  <c r="G114" i="40"/>
  <c r="H114" i="40"/>
  <c r="J114" i="40"/>
  <c r="A115" i="40"/>
  <c r="B115" i="40"/>
  <c r="D115" i="40"/>
  <c r="F115" i="40"/>
  <c r="G115" i="40"/>
  <c r="H115" i="40"/>
  <c r="J115" i="40"/>
  <c r="A116" i="40"/>
  <c r="B116" i="40"/>
  <c r="D116" i="40"/>
  <c r="F116" i="40"/>
  <c r="G116" i="40"/>
  <c r="H116" i="40"/>
  <c r="J116" i="40"/>
  <c r="A117" i="40"/>
  <c r="B117" i="40"/>
  <c r="D117" i="40"/>
  <c r="F117" i="40"/>
  <c r="G117" i="40"/>
  <c r="H117" i="40"/>
  <c r="J117" i="40"/>
  <c r="A118" i="40"/>
  <c r="B118" i="40"/>
  <c r="D118" i="40"/>
  <c r="F118" i="40"/>
  <c r="G118" i="40"/>
  <c r="H118" i="40"/>
  <c r="J118" i="40"/>
  <c r="A119" i="40"/>
  <c r="B119" i="40"/>
  <c r="D119" i="40"/>
  <c r="F119" i="40"/>
  <c r="G119" i="40"/>
  <c r="H119" i="40"/>
  <c r="J119" i="40"/>
  <c r="A120" i="40"/>
  <c r="B120" i="40"/>
  <c r="D120" i="40"/>
  <c r="F120" i="40"/>
  <c r="G120" i="40"/>
  <c r="H120" i="40"/>
  <c r="J120" i="40"/>
  <c r="A121" i="40"/>
  <c r="B121" i="40"/>
  <c r="D121" i="40"/>
  <c r="F121" i="40"/>
  <c r="G121" i="40"/>
  <c r="H121" i="40"/>
  <c r="J121" i="40"/>
  <c r="A122" i="40"/>
  <c r="B122" i="40"/>
  <c r="D122" i="40"/>
  <c r="F122" i="40"/>
  <c r="G122" i="40"/>
  <c r="H122" i="40"/>
  <c r="J122" i="40"/>
  <c r="A123" i="40"/>
  <c r="B123" i="40"/>
  <c r="D123" i="40"/>
  <c r="F123" i="40"/>
  <c r="G123" i="40"/>
  <c r="H123" i="40"/>
  <c r="J123" i="40"/>
  <c r="A124" i="40"/>
  <c r="B124" i="40"/>
  <c r="D124" i="40"/>
  <c r="F124" i="40"/>
  <c r="G124" i="40"/>
  <c r="H124" i="40"/>
  <c r="J124" i="40"/>
  <c r="A125" i="40"/>
  <c r="B125" i="40"/>
  <c r="D125" i="40"/>
  <c r="F125" i="40"/>
  <c r="G125" i="40"/>
  <c r="H125" i="40"/>
  <c r="J125" i="40"/>
  <c r="A126" i="40"/>
  <c r="B126" i="40"/>
  <c r="D126" i="40"/>
  <c r="F126" i="40"/>
  <c r="G126" i="40"/>
  <c r="H126" i="40"/>
  <c r="J126" i="40"/>
  <c r="A127" i="40"/>
  <c r="B127" i="40"/>
  <c r="D127" i="40"/>
  <c r="F127" i="40"/>
  <c r="G127" i="40"/>
  <c r="H127" i="40"/>
  <c r="J127" i="40"/>
  <c r="A128" i="40"/>
  <c r="B128" i="40"/>
  <c r="D128" i="40"/>
  <c r="F128" i="40"/>
  <c r="G128" i="40"/>
  <c r="H128" i="40"/>
  <c r="J128" i="40"/>
  <c r="A129" i="40"/>
  <c r="B129" i="40"/>
  <c r="D129" i="40"/>
  <c r="F129" i="40"/>
  <c r="G129" i="40"/>
  <c r="H129" i="40"/>
  <c r="J129" i="40"/>
  <c r="A130" i="40"/>
  <c r="B130" i="40"/>
  <c r="D130" i="40"/>
  <c r="F130" i="40"/>
  <c r="G130" i="40"/>
  <c r="H130" i="40"/>
  <c r="J130" i="40"/>
  <c r="A131" i="40"/>
  <c r="B131" i="40"/>
  <c r="D131" i="40"/>
  <c r="F131" i="40"/>
  <c r="G131" i="40"/>
  <c r="H131" i="40"/>
  <c r="J131" i="40"/>
  <c r="A132" i="40"/>
  <c r="B132" i="40"/>
  <c r="D132" i="40"/>
  <c r="F132" i="40"/>
  <c r="G132" i="40"/>
  <c r="H132" i="40"/>
  <c r="J132" i="40"/>
  <c r="A133" i="40"/>
  <c r="B133" i="40"/>
  <c r="D133" i="40"/>
  <c r="F133" i="40"/>
  <c r="G133" i="40"/>
  <c r="H133" i="40"/>
  <c r="J133" i="40"/>
  <c r="A134" i="40"/>
  <c r="B134" i="40"/>
  <c r="D134" i="40"/>
  <c r="F134" i="40"/>
  <c r="G134" i="40"/>
  <c r="H134" i="40"/>
  <c r="J134" i="40"/>
  <c r="A135" i="40"/>
  <c r="B135" i="40"/>
  <c r="D135" i="40"/>
  <c r="F135" i="40"/>
  <c r="G135" i="40"/>
  <c r="H135" i="40"/>
  <c r="J135" i="40"/>
  <c r="A136" i="40"/>
  <c r="B136" i="40"/>
  <c r="D136" i="40"/>
  <c r="F136" i="40"/>
  <c r="G136" i="40"/>
  <c r="H136" i="40"/>
  <c r="J136" i="40"/>
  <c r="A137" i="40"/>
  <c r="B137" i="40"/>
  <c r="D137" i="40"/>
  <c r="F137" i="40"/>
  <c r="G137" i="40"/>
  <c r="H137" i="40"/>
  <c r="J137" i="40"/>
  <c r="A138" i="40"/>
  <c r="B138" i="40"/>
  <c r="D138" i="40"/>
  <c r="F138" i="40"/>
  <c r="G138" i="40"/>
  <c r="H138" i="40"/>
  <c r="J138" i="40"/>
  <c r="A139" i="40"/>
  <c r="B139" i="40"/>
  <c r="D139" i="40"/>
  <c r="F139" i="40"/>
  <c r="G139" i="40"/>
  <c r="H139" i="40"/>
  <c r="J139" i="40"/>
  <c r="A140" i="40"/>
  <c r="B140" i="40"/>
  <c r="D140" i="40"/>
  <c r="F140" i="40"/>
  <c r="G140" i="40"/>
  <c r="H140" i="40"/>
  <c r="J140" i="40"/>
  <c r="A141" i="40"/>
  <c r="B141" i="40"/>
  <c r="D141" i="40"/>
  <c r="F141" i="40"/>
  <c r="G141" i="40"/>
  <c r="H141" i="40"/>
  <c r="J141" i="40"/>
  <c r="A142" i="40"/>
  <c r="B142" i="40"/>
  <c r="D142" i="40"/>
  <c r="F142" i="40"/>
  <c r="G142" i="40"/>
  <c r="H142" i="40"/>
  <c r="J142" i="40"/>
  <c r="A143" i="40"/>
  <c r="B143" i="40"/>
  <c r="D143" i="40"/>
  <c r="F143" i="40"/>
  <c r="G143" i="40"/>
  <c r="H143" i="40"/>
  <c r="J143" i="40"/>
  <c r="A144" i="40"/>
  <c r="B144" i="40"/>
  <c r="D144" i="40"/>
  <c r="F144" i="40"/>
  <c r="G144" i="40"/>
  <c r="H144" i="40"/>
  <c r="J144" i="40"/>
  <c r="A145" i="40"/>
  <c r="B145" i="40"/>
  <c r="D145" i="40"/>
  <c r="F145" i="40"/>
  <c r="G145" i="40"/>
  <c r="H145" i="40"/>
  <c r="J145" i="40"/>
  <c r="A146" i="40"/>
  <c r="B146" i="40"/>
  <c r="D146" i="40"/>
  <c r="F146" i="40"/>
  <c r="G146" i="40"/>
  <c r="H146" i="40"/>
  <c r="J146" i="40"/>
  <c r="A147" i="40"/>
  <c r="B147" i="40"/>
  <c r="D147" i="40"/>
  <c r="F147" i="40"/>
  <c r="G147" i="40"/>
  <c r="H147" i="40"/>
  <c r="J147" i="40"/>
  <c r="A148" i="40"/>
  <c r="B148" i="40"/>
  <c r="D148" i="40"/>
  <c r="F148" i="40"/>
  <c r="G148" i="40"/>
  <c r="H148" i="40"/>
  <c r="J148" i="40"/>
  <c r="A149" i="40"/>
  <c r="B149" i="40"/>
  <c r="D149" i="40"/>
  <c r="F149" i="40"/>
  <c r="G149" i="40"/>
  <c r="H149" i="40"/>
  <c r="J149" i="40"/>
  <c r="A150" i="40"/>
  <c r="B150" i="40"/>
  <c r="D150" i="40"/>
  <c r="F150" i="40"/>
  <c r="G150" i="40"/>
  <c r="H150" i="40"/>
  <c r="J150" i="40"/>
  <c r="A151" i="40"/>
  <c r="B151" i="40"/>
  <c r="D151" i="40"/>
  <c r="F151" i="40"/>
  <c r="G151" i="40"/>
  <c r="H151" i="40"/>
  <c r="J151" i="40"/>
  <c r="A152" i="40"/>
  <c r="B152" i="40"/>
  <c r="D152" i="40"/>
  <c r="F152" i="40"/>
  <c r="G152" i="40"/>
  <c r="H152" i="40"/>
  <c r="J152" i="40"/>
  <c r="A153" i="40"/>
  <c r="B153" i="40"/>
  <c r="D153" i="40"/>
  <c r="F153" i="40"/>
  <c r="G153" i="40"/>
  <c r="H153" i="40"/>
  <c r="J153" i="40"/>
  <c r="A154" i="40"/>
  <c r="B154" i="40"/>
  <c r="D154" i="40"/>
  <c r="F154" i="40"/>
  <c r="G154" i="40"/>
  <c r="H154" i="40"/>
  <c r="J154" i="40"/>
  <c r="A155" i="40"/>
  <c r="B155" i="40"/>
  <c r="D155" i="40"/>
  <c r="F155" i="40"/>
  <c r="G155" i="40"/>
  <c r="H155" i="40"/>
  <c r="J155" i="40"/>
  <c r="A156" i="40"/>
  <c r="B156" i="40"/>
  <c r="D156" i="40"/>
  <c r="F156" i="40"/>
  <c r="G156" i="40"/>
  <c r="H156" i="40"/>
  <c r="J156" i="40"/>
  <c r="A157" i="40"/>
  <c r="B157" i="40"/>
  <c r="D157" i="40"/>
  <c r="F157" i="40"/>
  <c r="G157" i="40"/>
  <c r="H157" i="40"/>
  <c r="J157" i="40"/>
  <c r="A158" i="40"/>
  <c r="B158" i="40"/>
  <c r="D158" i="40"/>
  <c r="F158" i="40"/>
  <c r="G158" i="40"/>
  <c r="H158" i="40"/>
  <c r="J158" i="40"/>
  <c r="B159" i="40"/>
  <c r="F159" i="40"/>
  <c r="G159" i="40"/>
  <c r="H159" i="40"/>
  <c r="J159" i="40"/>
  <c r="A160" i="40"/>
  <c r="B160" i="40"/>
  <c r="D160" i="40"/>
  <c r="F160" i="40"/>
  <c r="G160" i="40"/>
  <c r="H160" i="40"/>
  <c r="J160" i="40"/>
  <c r="A161" i="40"/>
  <c r="B161" i="40"/>
  <c r="D161" i="40"/>
  <c r="F161" i="40"/>
  <c r="G161" i="40"/>
  <c r="H161" i="40"/>
  <c r="J161" i="40"/>
  <c r="A162" i="40"/>
  <c r="B162" i="40"/>
  <c r="D162" i="40"/>
  <c r="F162" i="40"/>
  <c r="G162" i="40"/>
  <c r="H162" i="40"/>
  <c r="J162" i="40"/>
  <c r="A163" i="40"/>
  <c r="B163" i="40"/>
  <c r="D163" i="40"/>
  <c r="F163" i="40"/>
  <c r="G163" i="40"/>
  <c r="H163" i="40"/>
  <c r="J163" i="40"/>
  <c r="A164" i="40"/>
  <c r="B164" i="40"/>
  <c r="D164" i="40"/>
  <c r="F164" i="40"/>
  <c r="G164" i="40"/>
  <c r="H164" i="40"/>
  <c r="J164" i="40"/>
  <c r="A165" i="40"/>
  <c r="B165" i="40"/>
  <c r="D165" i="40"/>
  <c r="F165" i="40"/>
  <c r="G165" i="40"/>
  <c r="H165" i="40"/>
  <c r="J165" i="40"/>
  <c r="A166" i="40"/>
  <c r="B166" i="40"/>
  <c r="D166" i="40"/>
  <c r="F166" i="40"/>
  <c r="G166" i="40"/>
  <c r="H166" i="40"/>
  <c r="J166" i="40"/>
  <c r="A167" i="40"/>
  <c r="B167" i="40"/>
  <c r="D167" i="40"/>
  <c r="F167" i="40"/>
  <c r="G167" i="40"/>
  <c r="H167" i="40"/>
  <c r="J167" i="40"/>
  <c r="A168" i="40"/>
  <c r="B168" i="40"/>
  <c r="D168" i="40"/>
  <c r="F168" i="40"/>
  <c r="G168" i="40"/>
  <c r="H168" i="40"/>
  <c r="J168" i="40"/>
  <c r="A169" i="40"/>
  <c r="B169" i="40"/>
  <c r="D169" i="40"/>
  <c r="F169" i="40"/>
  <c r="G169" i="40"/>
  <c r="H169" i="40"/>
  <c r="J169" i="40"/>
  <c r="A170" i="40"/>
  <c r="B170" i="40"/>
  <c r="D170" i="40"/>
  <c r="F170" i="40"/>
  <c r="G170" i="40"/>
  <c r="H170" i="40"/>
  <c r="J170" i="40"/>
  <c r="A171" i="40"/>
  <c r="B171" i="40"/>
  <c r="D171" i="40"/>
  <c r="F171" i="40"/>
  <c r="G171" i="40"/>
  <c r="H171" i="40"/>
  <c r="J171" i="40"/>
  <c r="A172" i="40"/>
  <c r="B172" i="40"/>
  <c r="D172" i="40"/>
  <c r="F172" i="40"/>
  <c r="G172" i="40"/>
  <c r="H172" i="40"/>
  <c r="J172" i="40"/>
  <c r="A173" i="40"/>
  <c r="B173" i="40"/>
  <c r="D173" i="40"/>
  <c r="F173" i="40"/>
  <c r="G173" i="40"/>
  <c r="H173" i="40"/>
  <c r="J173" i="40"/>
  <c r="A174" i="40"/>
  <c r="B174" i="40"/>
  <c r="D174" i="40"/>
  <c r="F174" i="40"/>
  <c r="G174" i="40"/>
  <c r="H174" i="40"/>
  <c r="J174" i="40"/>
  <c r="A175" i="40"/>
  <c r="B175" i="40"/>
  <c r="D175" i="40"/>
  <c r="F175" i="40"/>
  <c r="G175" i="40"/>
  <c r="H175" i="40"/>
  <c r="J175" i="40"/>
  <c r="A176" i="40"/>
  <c r="B176" i="40"/>
  <c r="D176" i="40"/>
  <c r="F176" i="40"/>
  <c r="G176" i="40"/>
  <c r="H176" i="40"/>
  <c r="J176" i="40"/>
  <c r="A177" i="40"/>
  <c r="B177" i="40"/>
  <c r="D177" i="40"/>
  <c r="F177" i="40"/>
  <c r="G177" i="40"/>
  <c r="H177" i="40"/>
  <c r="J177" i="40"/>
  <c r="A178" i="40"/>
  <c r="B178" i="40"/>
  <c r="D178" i="40"/>
  <c r="F178" i="40"/>
  <c r="G178" i="40"/>
  <c r="H178" i="40"/>
  <c r="J178" i="40"/>
  <c r="A179" i="40"/>
  <c r="B179" i="40"/>
  <c r="D179" i="40"/>
  <c r="F179" i="40"/>
  <c r="G179" i="40"/>
  <c r="H179" i="40"/>
  <c r="J179" i="40"/>
  <c r="A180" i="40"/>
  <c r="B180" i="40"/>
  <c r="D180" i="40"/>
  <c r="F180" i="40"/>
  <c r="G180" i="40"/>
  <c r="H180" i="40"/>
  <c r="J180" i="40"/>
  <c r="B7" i="35"/>
  <c r="B8" i="35" s="1"/>
  <c r="T4" i="7"/>
  <c r="R110" i="7"/>
  <c r="A110" i="7"/>
  <c r="R109" i="7"/>
  <c r="A109" i="7"/>
  <c r="R108" i="7"/>
  <c r="A108" i="7"/>
  <c r="R107" i="7"/>
  <c r="A107" i="7"/>
  <c r="R114" i="7"/>
  <c r="A114" i="7"/>
  <c r="R113" i="7"/>
  <c r="A113" i="7"/>
  <c r="R112" i="7"/>
  <c r="A112" i="7"/>
  <c r="R111" i="7"/>
  <c r="A111" i="7"/>
  <c r="R115" i="7"/>
  <c r="A115" i="7"/>
  <c r="S130" i="7" l="1"/>
  <c r="S129" i="7"/>
  <c r="S101" i="7"/>
  <c r="S131" i="7"/>
  <c r="S125" i="7"/>
  <c r="S128" i="7"/>
  <c r="S124" i="7"/>
  <c r="S126" i="7"/>
  <c r="S127" i="7"/>
  <c r="X137" i="6"/>
  <c r="X112" i="6"/>
  <c r="B9" i="35"/>
  <c r="I144" i="44"/>
  <c r="D133" i="6" l="1"/>
  <c r="D107" i="6"/>
  <c r="X138" i="6"/>
  <c r="X113" i="6"/>
  <c r="B10" i="35"/>
  <c r="I128" i="6" s="1"/>
  <c r="W106" i="6" s="1"/>
  <c r="M144" i="44"/>
  <c r="O144" i="44"/>
  <c r="W107" i="6" l="1"/>
  <c r="Y106" i="6"/>
  <c r="X139" i="6"/>
  <c r="X114" i="6"/>
  <c r="L10" i="35"/>
  <c r="C107" i="6" s="1"/>
  <c r="H107" i="6" s="1"/>
  <c r="B11" i="35"/>
  <c r="I154" i="6" s="1"/>
  <c r="W132" i="6" s="1"/>
  <c r="I142" i="44"/>
  <c r="W108" i="6" l="1"/>
  <c r="Y107" i="6"/>
  <c r="Y132" i="6"/>
  <c r="W133" i="6"/>
  <c r="X140" i="6"/>
  <c r="X115" i="6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58" i="35" s="1"/>
  <c r="B59" i="35" s="1"/>
  <c r="B60" i="35" s="1"/>
  <c r="B61" i="35" s="1"/>
  <c r="L11" i="35"/>
  <c r="C133" i="6" s="1"/>
  <c r="H133" i="6" s="1"/>
  <c r="O142" i="44"/>
  <c r="M142" i="44"/>
  <c r="D1355" i="6" l="1"/>
  <c r="D1381" i="6"/>
  <c r="D1277" i="6"/>
  <c r="D1303" i="6"/>
  <c r="D1251" i="6"/>
  <c r="D1407" i="6"/>
  <c r="D1329" i="6"/>
  <c r="W109" i="6"/>
  <c r="Y108" i="6"/>
  <c r="W134" i="6"/>
  <c r="Y133" i="6"/>
  <c r="X141" i="6"/>
  <c r="X116" i="6"/>
  <c r="I140" i="44"/>
  <c r="I1272" i="6" l="1"/>
  <c r="W1250" i="6" s="1"/>
  <c r="L55" i="35"/>
  <c r="C1251" i="6" s="1"/>
  <c r="H1251" i="6" s="1"/>
  <c r="W110" i="6"/>
  <c r="Y109" i="6"/>
  <c r="W135" i="6"/>
  <c r="Y134" i="6"/>
  <c r="X142" i="6"/>
  <c r="X117" i="6"/>
  <c r="X118" i="6" s="1"/>
  <c r="X119" i="6" s="1"/>
  <c r="M140" i="44"/>
  <c r="O140" i="44"/>
  <c r="W1251" i="6" l="1"/>
  <c r="Y1250" i="6"/>
  <c r="I1298" i="6"/>
  <c r="W1276" i="6" s="1"/>
  <c r="L56" i="35"/>
  <c r="C1277" i="6" s="1"/>
  <c r="H1277" i="6" s="1"/>
  <c r="W136" i="6"/>
  <c r="Y135" i="6"/>
  <c r="W111" i="6"/>
  <c r="Y110" i="6"/>
  <c r="X143" i="6"/>
  <c r="I136" i="44"/>
  <c r="W1252" i="6" l="1"/>
  <c r="Y1251" i="6"/>
  <c r="W1277" i="6"/>
  <c r="Y1276" i="6"/>
  <c r="L57" i="35"/>
  <c r="C1303" i="6" s="1"/>
  <c r="H1303" i="6" s="1"/>
  <c r="I1324" i="6"/>
  <c r="W1302" i="6" s="1"/>
  <c r="W112" i="6"/>
  <c r="Y111" i="6"/>
  <c r="W137" i="6"/>
  <c r="Y136" i="6"/>
  <c r="X144" i="6"/>
  <c r="O136" i="44"/>
  <c r="M136" i="44"/>
  <c r="I134" i="44"/>
  <c r="W1253" i="6" l="1"/>
  <c r="Y1252" i="6"/>
  <c r="W1278" i="6"/>
  <c r="Y1277" i="6"/>
  <c r="L61" i="35"/>
  <c r="C1407" i="6" s="1"/>
  <c r="H1407" i="6" s="1"/>
  <c r="I1428" i="6"/>
  <c r="W1406" i="6" s="1"/>
  <c r="W1303" i="6"/>
  <c r="Y1302" i="6"/>
  <c r="W138" i="6"/>
  <c r="Y137" i="6"/>
  <c r="W113" i="6"/>
  <c r="Y112" i="6"/>
  <c r="X145" i="6"/>
  <c r="X120" i="6"/>
  <c r="I132" i="44"/>
  <c r="W1254" i="6" l="1"/>
  <c r="Y1253" i="6"/>
  <c r="I1350" i="6"/>
  <c r="W1328" i="6" s="1"/>
  <c r="L58" i="35"/>
  <c r="C1329" i="6" s="1"/>
  <c r="H1329" i="6" s="1"/>
  <c r="W1407" i="6"/>
  <c r="Y1406" i="6"/>
  <c r="W1279" i="6"/>
  <c r="Y1278" i="6"/>
  <c r="W1304" i="6"/>
  <c r="Y1303" i="6"/>
  <c r="W139" i="6"/>
  <c r="Y138" i="6"/>
  <c r="W114" i="6"/>
  <c r="Y113" i="6"/>
  <c r="X146" i="6"/>
  <c r="X121" i="6"/>
  <c r="O132" i="44"/>
  <c r="M132" i="44"/>
  <c r="I131" i="44"/>
  <c r="W1255" i="6" l="1"/>
  <c r="Y1254" i="6"/>
  <c r="W1408" i="6"/>
  <c r="Y1407" i="6"/>
  <c r="L59" i="35"/>
  <c r="C1355" i="6" s="1"/>
  <c r="H1355" i="6" s="1"/>
  <c r="I1376" i="6"/>
  <c r="W1354" i="6" s="1"/>
  <c r="W1305" i="6"/>
  <c r="Y1304" i="6"/>
  <c r="W1280" i="6"/>
  <c r="Y1279" i="6"/>
  <c r="W1329" i="6"/>
  <c r="Y1328" i="6"/>
  <c r="W140" i="6"/>
  <c r="Y139" i="6"/>
  <c r="W115" i="6"/>
  <c r="Y114" i="6"/>
  <c r="X147" i="6"/>
  <c r="X122" i="6"/>
  <c r="M131" i="44"/>
  <c r="O131" i="44"/>
  <c r="I127" i="44"/>
  <c r="W1256" i="6" l="1"/>
  <c r="Y1255" i="6"/>
  <c r="I1402" i="6"/>
  <c r="W1380" i="6" s="1"/>
  <c r="L60" i="35"/>
  <c r="C1381" i="6" s="1"/>
  <c r="H1381" i="6" s="1"/>
  <c r="W1355" i="6"/>
  <c r="Y1354" i="6"/>
  <c r="W1409" i="6"/>
  <c r="Y1408" i="6"/>
  <c r="W1281" i="6"/>
  <c r="Y1280" i="6"/>
  <c r="W1330" i="6"/>
  <c r="Y1329" i="6"/>
  <c r="W1306" i="6"/>
  <c r="Y1305" i="6"/>
  <c r="W116" i="6"/>
  <c r="Y115" i="6"/>
  <c r="W141" i="6"/>
  <c r="Y140" i="6"/>
  <c r="X148" i="6"/>
  <c r="X123" i="6"/>
  <c r="M127" i="44"/>
  <c r="O127" i="44"/>
  <c r="I126" i="44"/>
  <c r="W1307" i="6" l="1"/>
  <c r="Y1306" i="6"/>
  <c r="W1282" i="6"/>
  <c r="Y1281" i="6"/>
  <c r="W1356" i="6"/>
  <c r="Y1355" i="6"/>
  <c r="W1257" i="6"/>
  <c r="Y1256" i="6"/>
  <c r="W1331" i="6"/>
  <c r="Y1330" i="6"/>
  <c r="W1410" i="6"/>
  <c r="Y1409" i="6"/>
  <c r="W1381" i="6"/>
  <c r="Y1380" i="6"/>
  <c r="W117" i="6"/>
  <c r="Y116" i="6"/>
  <c r="W142" i="6"/>
  <c r="Y141" i="6"/>
  <c r="X149" i="6"/>
  <c r="X124" i="6"/>
  <c r="I125" i="44"/>
  <c r="W1332" i="6" l="1"/>
  <c r="Y1331" i="6"/>
  <c r="W1357" i="6"/>
  <c r="Y1356" i="6"/>
  <c r="W1308" i="6"/>
  <c r="Y1307" i="6"/>
  <c r="W1382" i="6"/>
  <c r="Y1381" i="6"/>
  <c r="W1411" i="6"/>
  <c r="Y1410" i="6"/>
  <c r="W1258" i="6"/>
  <c r="Y1257" i="6"/>
  <c r="W1283" i="6"/>
  <c r="Y1282" i="6"/>
  <c r="W143" i="6"/>
  <c r="Y142" i="6"/>
  <c r="W118" i="6"/>
  <c r="Y117" i="6"/>
  <c r="X150" i="6"/>
  <c r="X125" i="6"/>
  <c r="I123" i="44"/>
  <c r="W1284" i="6" l="1"/>
  <c r="Y1283" i="6"/>
  <c r="W1333" i="6"/>
  <c r="Y1332" i="6"/>
  <c r="W1309" i="6"/>
  <c r="Y1308" i="6"/>
  <c r="W1259" i="6"/>
  <c r="Y1258" i="6"/>
  <c r="W1383" i="6"/>
  <c r="Y1382" i="6"/>
  <c r="W1358" i="6"/>
  <c r="Y1357" i="6"/>
  <c r="W1412" i="6"/>
  <c r="Y1411" i="6"/>
  <c r="W144" i="6"/>
  <c r="Y143" i="6"/>
  <c r="W119" i="6"/>
  <c r="Y118" i="6"/>
  <c r="X151" i="6"/>
  <c r="X126" i="6"/>
  <c r="I122" i="44"/>
  <c r="W1384" i="6" l="1"/>
  <c r="Y1383" i="6"/>
  <c r="Y1284" i="6"/>
  <c r="W1285" i="6"/>
  <c r="W1310" i="6"/>
  <c r="Y1309" i="6"/>
  <c r="W1359" i="6"/>
  <c r="Y1358" i="6"/>
  <c r="W1260" i="6"/>
  <c r="Y1259" i="6"/>
  <c r="W1334" i="6"/>
  <c r="Y1333" i="6"/>
  <c r="W1413" i="6"/>
  <c r="Y1412" i="6"/>
  <c r="W120" i="6"/>
  <c r="Y119" i="6"/>
  <c r="W145" i="6"/>
  <c r="Y144" i="6"/>
  <c r="X152" i="6"/>
  <c r="X127" i="6"/>
  <c r="I121" i="44"/>
  <c r="Y1260" i="6" l="1"/>
  <c r="W1261" i="6"/>
  <c r="W1385" i="6"/>
  <c r="Y1384" i="6"/>
  <c r="W1311" i="6"/>
  <c r="Y1310" i="6"/>
  <c r="W1335" i="6"/>
  <c r="Y1334" i="6"/>
  <c r="W1360" i="6"/>
  <c r="Y1359" i="6"/>
  <c r="W1414" i="6"/>
  <c r="Y1413" i="6"/>
  <c r="W1286" i="6"/>
  <c r="Y1285" i="6"/>
  <c r="W146" i="6"/>
  <c r="Y145" i="6"/>
  <c r="W121" i="6"/>
  <c r="Y120" i="6"/>
  <c r="X153" i="6"/>
  <c r="X128" i="6"/>
  <c r="I119" i="44"/>
  <c r="W1287" i="6" l="1"/>
  <c r="Y1286" i="6"/>
  <c r="W1262" i="6"/>
  <c r="Y1261" i="6"/>
  <c r="W1361" i="6"/>
  <c r="Y1360" i="6"/>
  <c r="W1415" i="6"/>
  <c r="Y1414" i="6"/>
  <c r="W1336" i="6"/>
  <c r="Y1335" i="6"/>
  <c r="W1386" i="6"/>
  <c r="Y1385" i="6"/>
  <c r="W1312" i="6"/>
  <c r="Y1311" i="6"/>
  <c r="W147" i="6"/>
  <c r="Y146" i="6"/>
  <c r="W122" i="6"/>
  <c r="Y121" i="6"/>
  <c r="X154" i="6"/>
  <c r="X129" i="6"/>
  <c r="I118" i="44"/>
  <c r="W1362" i="6" l="1"/>
  <c r="Y1361" i="6"/>
  <c r="Y1312" i="6"/>
  <c r="W1313" i="6"/>
  <c r="W1337" i="6"/>
  <c r="Y1336" i="6"/>
  <c r="W1387" i="6"/>
  <c r="Y1386" i="6"/>
  <c r="W1416" i="6"/>
  <c r="Y1415" i="6"/>
  <c r="W1263" i="6"/>
  <c r="Y1262" i="6"/>
  <c r="Y1287" i="6"/>
  <c r="W1288" i="6"/>
  <c r="W148" i="6"/>
  <c r="Y147" i="6"/>
  <c r="W123" i="6"/>
  <c r="Y122" i="6"/>
  <c r="X155" i="6"/>
  <c r="X130" i="6"/>
  <c r="I116" i="44"/>
  <c r="W1363" i="6" l="1"/>
  <c r="W1364" i="6" s="1"/>
  <c r="Y1364" i="6" s="1"/>
  <c r="Y1362" i="6"/>
  <c r="W1338" i="6"/>
  <c r="Y1337" i="6"/>
  <c r="Y1288" i="6"/>
  <c r="W1289" i="6"/>
  <c r="W1264" i="6"/>
  <c r="Y1263" i="6"/>
  <c r="W1388" i="6"/>
  <c r="Y1387" i="6"/>
  <c r="Y1416" i="6"/>
  <c r="W1417" i="6"/>
  <c r="W1314" i="6"/>
  <c r="Y1313" i="6"/>
  <c r="W149" i="6"/>
  <c r="Y148" i="6"/>
  <c r="W124" i="6"/>
  <c r="Y123" i="6"/>
  <c r="X156" i="6"/>
  <c r="X131" i="6"/>
  <c r="I115" i="44"/>
  <c r="Y1363" i="6" l="1"/>
  <c r="W1389" i="6"/>
  <c r="Y1388" i="6"/>
  <c r="W1265" i="6"/>
  <c r="Y1264" i="6"/>
  <c r="W1339" i="6"/>
  <c r="W1340" i="6" s="1"/>
  <c r="Y1340" i="6" s="1"/>
  <c r="Y1338" i="6"/>
  <c r="W1315" i="6"/>
  <c r="Y1314" i="6"/>
  <c r="W1290" i="6"/>
  <c r="Y1289" i="6"/>
  <c r="Y1417" i="6"/>
  <c r="W1418" i="6"/>
  <c r="W150" i="6"/>
  <c r="Y149" i="6"/>
  <c r="W125" i="6"/>
  <c r="Y124" i="6"/>
  <c r="X157" i="6"/>
  <c r="I112" i="44"/>
  <c r="W1365" i="6" l="1"/>
  <c r="W1266" i="6"/>
  <c r="Y1265" i="6"/>
  <c r="W1419" i="6"/>
  <c r="Y1418" i="6"/>
  <c r="W1291" i="6"/>
  <c r="Y1290" i="6"/>
  <c r="Y1339" i="6"/>
  <c r="W1390" i="6"/>
  <c r="Y1389" i="6"/>
  <c r="W1316" i="6"/>
  <c r="Y1315" i="6"/>
  <c r="W151" i="6"/>
  <c r="Y150" i="6"/>
  <c r="W126" i="6"/>
  <c r="Y125" i="6"/>
  <c r="O112" i="44"/>
  <c r="M112" i="44"/>
  <c r="I111" i="44"/>
  <c r="W1317" i="6" l="1"/>
  <c r="Y1316" i="6"/>
  <c r="W1366" i="6"/>
  <c r="Y1365" i="6"/>
  <c r="W1391" i="6"/>
  <c r="Y1390" i="6"/>
  <c r="W1292" i="6"/>
  <c r="Y1291" i="6"/>
  <c r="W1267" i="6"/>
  <c r="Y1266" i="6"/>
  <c r="Y1419" i="6"/>
  <c r="W1420" i="6"/>
  <c r="W1341" i="6"/>
  <c r="W152" i="6"/>
  <c r="Y151" i="6"/>
  <c r="W127" i="6"/>
  <c r="Y126" i="6"/>
  <c r="I110" i="44"/>
  <c r="W1268" i="6" l="1"/>
  <c r="Y1267" i="6"/>
  <c r="W1392" i="6"/>
  <c r="Y1391" i="6"/>
  <c r="W1318" i="6"/>
  <c r="Y1317" i="6"/>
  <c r="W1342" i="6"/>
  <c r="Y1341" i="6"/>
  <c r="W1293" i="6"/>
  <c r="Y1292" i="6"/>
  <c r="W1367" i="6"/>
  <c r="Y1366" i="6"/>
  <c r="Y1420" i="6"/>
  <c r="W1421" i="6"/>
  <c r="W153" i="6"/>
  <c r="Y152" i="6"/>
  <c r="W128" i="6"/>
  <c r="Y127" i="6"/>
  <c r="I107" i="44"/>
  <c r="W1294" i="6" l="1"/>
  <c r="Y1293" i="6"/>
  <c r="W1269" i="6"/>
  <c r="Y1268" i="6"/>
  <c r="W1368" i="6"/>
  <c r="Y1367" i="6"/>
  <c r="W1343" i="6"/>
  <c r="Y1342" i="6"/>
  <c r="W1393" i="6"/>
  <c r="Y1392" i="6"/>
  <c r="W1319" i="6"/>
  <c r="Y1318" i="6"/>
  <c r="W1422" i="6"/>
  <c r="Y1421" i="6"/>
  <c r="W154" i="6"/>
  <c r="Y153" i="6"/>
  <c r="W129" i="6"/>
  <c r="Y128" i="6"/>
  <c r="I106" i="44"/>
  <c r="W1295" i="6" l="1"/>
  <c r="Y1294" i="6"/>
  <c r="W1423" i="6"/>
  <c r="Y1422" i="6"/>
  <c r="W1369" i="6"/>
  <c r="Y1368" i="6"/>
  <c r="W1320" i="6"/>
  <c r="Y1319" i="6"/>
  <c r="W1344" i="6"/>
  <c r="Y1343" i="6"/>
  <c r="W1270" i="6"/>
  <c r="Y1269" i="6"/>
  <c r="W1394" i="6"/>
  <c r="Y1393" i="6"/>
  <c r="W155" i="6"/>
  <c r="Y154" i="6"/>
  <c r="W130" i="6"/>
  <c r="Y129" i="6"/>
  <c r="I104" i="44"/>
  <c r="W1296" i="6" l="1"/>
  <c r="Y1295" i="6"/>
  <c r="W1370" i="6"/>
  <c r="Y1369" i="6"/>
  <c r="W1271" i="6"/>
  <c r="Y1270" i="6"/>
  <c r="W1321" i="6"/>
  <c r="Y1320" i="6"/>
  <c r="W1424" i="6"/>
  <c r="Y1423" i="6"/>
  <c r="W1395" i="6"/>
  <c r="Y1394" i="6"/>
  <c r="W1345" i="6"/>
  <c r="Y1344" i="6"/>
  <c r="W156" i="6"/>
  <c r="Y155" i="6"/>
  <c r="W131" i="6"/>
  <c r="Y131" i="6" s="1"/>
  <c r="Y130" i="6"/>
  <c r="I103" i="44"/>
  <c r="W1272" i="6" l="1"/>
  <c r="Y1271" i="6"/>
  <c r="W1425" i="6"/>
  <c r="Y1424" i="6"/>
  <c r="W1396" i="6"/>
  <c r="Y1395" i="6"/>
  <c r="W1322" i="6"/>
  <c r="Y1321" i="6"/>
  <c r="W1371" i="6"/>
  <c r="Y1370" i="6"/>
  <c r="W1346" i="6"/>
  <c r="Y1345" i="6"/>
  <c r="W1297" i="6"/>
  <c r="Y1296" i="6"/>
  <c r="W157" i="6"/>
  <c r="Y157" i="6" s="1"/>
  <c r="Y156" i="6"/>
  <c r="I101" i="44"/>
  <c r="W1298" i="6" l="1"/>
  <c r="Y1297" i="6"/>
  <c r="W1397" i="6"/>
  <c r="Y1396" i="6"/>
  <c r="W1273" i="6"/>
  <c r="Y1272" i="6"/>
  <c r="W1372" i="6"/>
  <c r="Y1371" i="6"/>
  <c r="W1347" i="6"/>
  <c r="Y1346" i="6"/>
  <c r="W1323" i="6"/>
  <c r="Y1322" i="6"/>
  <c r="W1426" i="6"/>
  <c r="Y1425" i="6"/>
  <c r="I100" i="44"/>
  <c r="W1274" i="6" l="1"/>
  <c r="Y1273" i="6"/>
  <c r="W1427" i="6"/>
  <c r="Y1426" i="6"/>
  <c r="W1324" i="6"/>
  <c r="Y1323" i="6"/>
  <c r="W1373" i="6"/>
  <c r="Y1372" i="6"/>
  <c r="W1398" i="6"/>
  <c r="Y1397" i="6"/>
  <c r="W1348" i="6"/>
  <c r="Y1347" i="6"/>
  <c r="W1299" i="6"/>
  <c r="Y1298" i="6"/>
  <c r="I97" i="44"/>
  <c r="W1399" i="6" l="1"/>
  <c r="Y1398" i="6"/>
  <c r="W1275" i="6"/>
  <c r="Y1275" i="6" s="1"/>
  <c r="Y1274" i="6"/>
  <c r="W1349" i="6"/>
  <c r="Y1348" i="6"/>
  <c r="W1374" i="6"/>
  <c r="Y1373" i="6"/>
  <c r="W1428" i="6"/>
  <c r="Y1427" i="6"/>
  <c r="W1300" i="6"/>
  <c r="Y1299" i="6"/>
  <c r="W1325" i="6"/>
  <c r="Y1324" i="6"/>
  <c r="I94" i="44"/>
  <c r="W1350" i="6" l="1"/>
  <c r="Y1349" i="6"/>
  <c r="W1326" i="6"/>
  <c r="Y1325" i="6"/>
  <c r="W1400" i="6"/>
  <c r="Y1399" i="6"/>
  <c r="W1301" i="6"/>
  <c r="Y1301" i="6" s="1"/>
  <c r="Y1300" i="6"/>
  <c r="W1375" i="6"/>
  <c r="Y1374" i="6"/>
  <c r="W1429" i="6"/>
  <c r="Y1428" i="6"/>
  <c r="M94" i="44"/>
  <c r="O94" i="44"/>
  <c r="I93" i="44"/>
  <c r="W1376" i="6" l="1"/>
  <c r="Y1375" i="6"/>
  <c r="W1351" i="6"/>
  <c r="Y1350" i="6"/>
  <c r="W1430" i="6"/>
  <c r="Y1429" i="6"/>
  <c r="W1327" i="6"/>
  <c r="Y1327" i="6" s="1"/>
  <c r="Y1326" i="6"/>
  <c r="W1401" i="6"/>
  <c r="Y1400" i="6"/>
  <c r="O93" i="44"/>
  <c r="M93" i="44"/>
  <c r="I90" i="44"/>
  <c r="W1402" i="6" l="1"/>
  <c r="Y1401" i="6"/>
  <c r="W1431" i="6"/>
  <c r="Y1431" i="6" s="1"/>
  <c r="Y1430" i="6"/>
  <c r="W1352" i="6"/>
  <c r="Y1351" i="6"/>
  <c r="W1377" i="6"/>
  <c r="Y1376" i="6"/>
  <c r="I89" i="44"/>
  <c r="W1353" i="6" l="1"/>
  <c r="Y1353" i="6" s="1"/>
  <c r="Y1352" i="6"/>
  <c r="W1378" i="6"/>
  <c r="Y1377" i="6"/>
  <c r="W1403" i="6"/>
  <c r="Y1402" i="6"/>
  <c r="I85" i="44"/>
  <c r="W1379" i="6" l="1"/>
  <c r="Y1379" i="6" s="1"/>
  <c r="Y1378" i="6"/>
  <c r="W1404" i="6"/>
  <c r="Y1403" i="6"/>
  <c r="I91" i="44"/>
  <c r="W1405" i="6" l="1"/>
  <c r="Y1405" i="6" s="1"/>
  <c r="Y1404" i="6"/>
  <c r="I88" i="44"/>
  <c r="I87" i="44" l="1"/>
  <c r="I86" i="44" l="1"/>
  <c r="I82" i="44" l="1"/>
  <c r="I83" i="44" l="1"/>
  <c r="I81" i="44" l="1"/>
  <c r="I78" i="44" l="1"/>
  <c r="I76" i="44" l="1"/>
  <c r="I176" i="44" l="1"/>
  <c r="O176" i="44" l="1"/>
  <c r="M176" i="44"/>
  <c r="I175" i="44"/>
  <c r="O175" i="44" l="1"/>
  <c r="M175" i="44"/>
  <c r="I173" i="44" l="1"/>
  <c r="M173" i="44" l="1"/>
  <c r="O173" i="44"/>
  <c r="I171" i="44" l="1"/>
  <c r="O171" i="44" l="1"/>
  <c r="M171" i="44"/>
  <c r="I169" i="44" l="1"/>
  <c r="O169" i="44" l="1"/>
  <c r="M169" i="44"/>
  <c r="D160" i="44" l="1"/>
  <c r="A160" i="44"/>
  <c r="AI58" i="7"/>
  <c r="AH58" i="7"/>
  <c r="AD58" i="7"/>
  <c r="AC58" i="7"/>
  <c r="I58" i="7" s="1"/>
  <c r="R58" i="7" s="1"/>
  <c r="J58" i="7"/>
  <c r="A58" i="7"/>
  <c r="I77" i="44"/>
  <c r="X4" i="44"/>
  <c r="I181" i="44" l="1"/>
  <c r="D159" i="40"/>
  <c r="W181" i="44"/>
  <c r="A159" i="40"/>
  <c r="H9" i="40"/>
  <c r="H10" i="40"/>
  <c r="H51" i="40"/>
  <c r="M134" i="44"/>
  <c r="O134" i="44"/>
  <c r="O138" i="44"/>
  <c r="M138" i="44"/>
  <c r="I75" i="44"/>
  <c r="M181" i="44" l="1"/>
  <c r="O181" i="44"/>
  <c r="G244" i="6"/>
  <c r="I258" i="6"/>
  <c r="W236" i="6" s="1"/>
  <c r="W237" i="6" s="1"/>
  <c r="W238" i="6" s="1"/>
  <c r="W239" i="6" s="1"/>
  <c r="W240" i="6" s="1"/>
  <c r="W241" i="6" s="1"/>
  <c r="W242" i="6" s="1"/>
  <c r="W243" i="6" s="1"/>
  <c r="W244" i="6" s="1"/>
  <c r="W245" i="6" s="1"/>
  <c r="W246" i="6" s="1"/>
  <c r="W247" i="6" s="1"/>
  <c r="W248" i="6" s="1"/>
  <c r="W249" i="6" s="1"/>
  <c r="W250" i="6" s="1"/>
  <c r="W251" i="6" s="1"/>
  <c r="W252" i="6" s="1"/>
  <c r="W253" i="6" s="1"/>
  <c r="W254" i="6" s="1"/>
  <c r="W255" i="6" s="1"/>
  <c r="W256" i="6" s="1"/>
  <c r="W257" i="6" s="1"/>
  <c r="W258" i="6" s="1"/>
  <c r="W259" i="6" s="1"/>
  <c r="W260" i="6" s="1"/>
  <c r="W261" i="6" s="1"/>
  <c r="C240" i="6"/>
  <c r="H240" i="6" s="1"/>
  <c r="C239" i="6"/>
  <c r="H239" i="6" s="1"/>
  <c r="C238" i="6"/>
  <c r="H238" i="6" s="1"/>
  <c r="T261" i="6"/>
  <c r="H261" i="6"/>
  <c r="T260" i="6"/>
  <c r="H260" i="6"/>
  <c r="T259" i="6"/>
  <c r="H259" i="6"/>
  <c r="T258" i="6"/>
  <c r="H258" i="6"/>
  <c r="T257" i="6"/>
  <c r="H257" i="6"/>
  <c r="T256" i="6"/>
  <c r="H256" i="6"/>
  <c r="T255" i="6"/>
  <c r="H255" i="6"/>
  <c r="T254" i="6"/>
  <c r="H254" i="6"/>
  <c r="T253" i="6"/>
  <c r="H253" i="6"/>
  <c r="T252" i="6"/>
  <c r="H252" i="6"/>
  <c r="T251" i="6"/>
  <c r="H251" i="6"/>
  <c r="T250" i="6"/>
  <c r="H250" i="6"/>
  <c r="T249" i="6"/>
  <c r="H249" i="6"/>
  <c r="T248" i="6"/>
  <c r="O248" i="6"/>
  <c r="M248" i="6"/>
  <c r="H248" i="6"/>
  <c r="Q247" i="6"/>
  <c r="T247" i="6" s="1"/>
  <c r="O247" i="6"/>
  <c r="J247" i="6"/>
  <c r="K247" i="6" s="1"/>
  <c r="I247" i="6"/>
  <c r="H247" i="6"/>
  <c r="Q246" i="6"/>
  <c r="T246" i="6" s="1"/>
  <c r="O246" i="6"/>
  <c r="J246" i="6"/>
  <c r="K246" i="6" s="1"/>
  <c r="I246" i="6"/>
  <c r="H246" i="6"/>
  <c r="T245" i="6"/>
  <c r="O245" i="6"/>
  <c r="L245" i="6"/>
  <c r="M245" i="6" s="1"/>
  <c r="I245" i="6"/>
  <c r="H245" i="6"/>
  <c r="O244" i="6"/>
  <c r="L244" i="6"/>
  <c r="M244" i="6" s="1"/>
  <c r="I244" i="6"/>
  <c r="H244" i="6"/>
  <c r="T243" i="6"/>
  <c r="H243" i="6"/>
  <c r="T242" i="6"/>
  <c r="H242" i="6"/>
  <c r="T241" i="6"/>
  <c r="H241" i="6"/>
  <c r="T239" i="6"/>
  <c r="T238" i="6"/>
  <c r="T237" i="6"/>
  <c r="D237" i="6"/>
  <c r="T236" i="6"/>
  <c r="H236" i="6"/>
  <c r="L15" i="35"/>
  <c r="C237" i="6" s="1"/>
  <c r="H237" i="6" s="1"/>
  <c r="A15" i="35"/>
  <c r="T846" i="6"/>
  <c r="H846" i="6"/>
  <c r="T845" i="6"/>
  <c r="H845" i="6"/>
  <c r="T844" i="6"/>
  <c r="H844" i="6"/>
  <c r="O843" i="6"/>
  <c r="T819" i="6"/>
  <c r="H819" i="6"/>
  <c r="T818" i="6"/>
  <c r="H818" i="6"/>
  <c r="AI25" i="7"/>
  <c r="AD25" i="7"/>
  <c r="R25" i="7"/>
  <c r="A25" i="7"/>
  <c r="AI26" i="7"/>
  <c r="AD26" i="7"/>
  <c r="R26" i="7"/>
  <c r="A26" i="7"/>
  <c r="AI24" i="7"/>
  <c r="AD24" i="7"/>
  <c r="R24" i="7"/>
  <c r="A24" i="7"/>
  <c r="AI23" i="7"/>
  <c r="AD23" i="7"/>
  <c r="R23" i="7"/>
  <c r="A23" i="7"/>
  <c r="AI22" i="7"/>
  <c r="AD22" i="7"/>
  <c r="R22" i="7"/>
  <c r="A22" i="7"/>
  <c r="I37" i="44"/>
  <c r="O258" i="6" l="1"/>
  <c r="N240" i="6" s="1"/>
  <c r="O37" i="44"/>
  <c r="M37" i="44"/>
  <c r="T637" i="6"/>
  <c r="H637" i="6"/>
  <c r="T636" i="6"/>
  <c r="H636" i="6"/>
  <c r="O635" i="6"/>
  <c r="I635" i="6"/>
  <c r="H635" i="6"/>
  <c r="J635" i="6" s="1"/>
  <c r="K635" i="6" s="1"/>
  <c r="O634" i="6"/>
  <c r="L634" i="6"/>
  <c r="M634" i="6" s="1"/>
  <c r="I634" i="6"/>
  <c r="H634" i="6"/>
  <c r="Q635" i="6" l="1"/>
  <c r="T635" i="6" s="1"/>
  <c r="I31" i="44" l="1"/>
  <c r="I32" i="44" l="1"/>
  <c r="I30" i="44" l="1"/>
  <c r="I68" i="44" l="1"/>
  <c r="I55" i="44" l="1"/>
  <c r="G192" i="6" l="1"/>
  <c r="G218" i="6"/>
  <c r="T233" i="6"/>
  <c r="H233" i="6"/>
  <c r="T230" i="6"/>
  <c r="H230" i="6"/>
  <c r="T229" i="6"/>
  <c r="H229" i="6"/>
  <c r="T228" i="6"/>
  <c r="H228" i="6"/>
  <c r="T227" i="6"/>
  <c r="H227" i="6"/>
  <c r="T226" i="6"/>
  <c r="H226" i="6"/>
  <c r="T225" i="6"/>
  <c r="H225" i="6"/>
  <c r="T224" i="6"/>
  <c r="H224" i="6"/>
  <c r="T223" i="6"/>
  <c r="H223" i="6"/>
  <c r="T222" i="6"/>
  <c r="O222" i="6"/>
  <c r="M222" i="6"/>
  <c r="H222" i="6"/>
  <c r="Q221" i="6"/>
  <c r="T221" i="6" s="1"/>
  <c r="O221" i="6"/>
  <c r="J221" i="6"/>
  <c r="K221" i="6" s="1"/>
  <c r="I221" i="6"/>
  <c r="H221" i="6"/>
  <c r="Q220" i="6"/>
  <c r="T220" i="6" s="1"/>
  <c r="O220" i="6"/>
  <c r="J220" i="6"/>
  <c r="K220" i="6" s="1"/>
  <c r="I220" i="6"/>
  <c r="H220" i="6"/>
  <c r="T219" i="6"/>
  <c r="O219" i="6"/>
  <c r="L219" i="6"/>
  <c r="M219" i="6" s="1"/>
  <c r="I219" i="6"/>
  <c r="H219" i="6"/>
  <c r="O218" i="6"/>
  <c r="L218" i="6"/>
  <c r="M218" i="6" s="1"/>
  <c r="I218" i="6"/>
  <c r="H218" i="6"/>
  <c r="I67" i="44"/>
  <c r="I66" i="44" l="1"/>
  <c r="I65" i="44" l="1"/>
  <c r="I64" i="44" l="1"/>
  <c r="R86" i="7" l="1"/>
  <c r="A86" i="7"/>
  <c r="I62" i="44"/>
  <c r="O62" i="44" l="1"/>
  <c r="M62" i="44"/>
  <c r="I129" i="44"/>
  <c r="O129" i="44" l="1"/>
  <c r="M129" i="44"/>
  <c r="I108" i="44"/>
  <c r="G389" i="6" l="1"/>
  <c r="G388" i="6"/>
  <c r="G387" i="6"/>
  <c r="G386" i="6"/>
  <c r="G385" i="6"/>
  <c r="G384" i="6"/>
  <c r="G382" i="6"/>
  <c r="G381" i="6"/>
  <c r="G380" i="6"/>
  <c r="G379" i="6"/>
  <c r="G375" i="6"/>
  <c r="G374" i="6"/>
  <c r="I61" i="44"/>
  <c r="I60" i="44" l="1"/>
  <c r="I59" i="44" l="1"/>
  <c r="I58" i="44" l="1"/>
  <c r="AI16" i="7" l="1"/>
  <c r="AD16" i="7"/>
  <c r="R16" i="7"/>
  <c r="A16" i="7"/>
  <c r="T198" i="6"/>
  <c r="H198" i="6"/>
  <c r="T197" i="6"/>
  <c r="H197" i="6"/>
  <c r="T196" i="6"/>
  <c r="O196" i="6"/>
  <c r="M196" i="6"/>
  <c r="H196" i="6"/>
  <c r="Q195" i="6"/>
  <c r="T195" i="6" s="1"/>
  <c r="O195" i="6"/>
  <c r="J195" i="6"/>
  <c r="K195" i="6" s="1"/>
  <c r="I195" i="6"/>
  <c r="H195" i="6"/>
  <c r="Q194" i="6"/>
  <c r="T194" i="6" s="1"/>
  <c r="O194" i="6"/>
  <c r="J194" i="6"/>
  <c r="K194" i="6" s="1"/>
  <c r="I194" i="6"/>
  <c r="H194" i="6"/>
  <c r="T193" i="6"/>
  <c r="O193" i="6"/>
  <c r="L193" i="6"/>
  <c r="M193" i="6" s="1"/>
  <c r="I193" i="6"/>
  <c r="H193" i="6"/>
  <c r="I54" i="44" l="1"/>
  <c r="I53" i="44"/>
  <c r="R98" i="7"/>
  <c r="A98" i="7"/>
  <c r="AI14" i="7"/>
  <c r="AD14" i="7"/>
  <c r="R14" i="7"/>
  <c r="A14" i="7"/>
  <c r="Q174" i="6"/>
  <c r="T174" i="6" s="1"/>
  <c r="O174" i="6"/>
  <c r="J174" i="6"/>
  <c r="K174" i="6" s="1"/>
  <c r="O173" i="6"/>
  <c r="L173" i="6"/>
  <c r="M173" i="6" s="1"/>
  <c r="O172" i="6"/>
  <c r="L172" i="6"/>
  <c r="M172" i="6" s="1"/>
  <c r="O168" i="6"/>
  <c r="L168" i="6"/>
  <c r="M168" i="6" s="1"/>
  <c r="O166" i="6"/>
  <c r="L166" i="6"/>
  <c r="M166" i="6" s="1"/>
  <c r="G173" i="6"/>
  <c r="G172" i="6"/>
  <c r="G168" i="6"/>
  <c r="G167" i="6"/>
  <c r="G166" i="6"/>
  <c r="J8" i="40" l="1"/>
  <c r="H8" i="40"/>
  <c r="G8" i="40"/>
  <c r="F8" i="40"/>
  <c r="D8" i="40"/>
  <c r="B8" i="40"/>
  <c r="A8" i="40"/>
  <c r="H7" i="40"/>
  <c r="Z4" i="44"/>
  <c r="I12" i="44" l="1"/>
  <c r="J19" i="1" l="1"/>
  <c r="B25" i="6"/>
  <c r="B23" i="6"/>
  <c r="U8" i="44"/>
  <c r="I138" i="44" l="1"/>
  <c r="I362" i="6" l="1"/>
  <c r="W340" i="6" s="1"/>
  <c r="W341" i="6" s="1"/>
  <c r="W342" i="6" s="1"/>
  <c r="W343" i="6" s="1"/>
  <c r="W344" i="6" s="1"/>
  <c r="W345" i="6" s="1"/>
  <c r="W346" i="6" s="1"/>
  <c r="W347" i="6" s="1"/>
  <c r="W348" i="6" s="1"/>
  <c r="W349" i="6" s="1"/>
  <c r="W350" i="6" s="1"/>
  <c r="W351" i="6" s="1"/>
  <c r="W352" i="6" s="1"/>
  <c r="W353" i="6" s="1"/>
  <c r="W354" i="6" s="1"/>
  <c r="W355" i="6" s="1"/>
  <c r="W356" i="6" s="1"/>
  <c r="W357" i="6" s="1"/>
  <c r="W358" i="6" s="1"/>
  <c r="W359" i="6" s="1"/>
  <c r="W360" i="6" s="1"/>
  <c r="W361" i="6" s="1"/>
  <c r="W362" i="6" s="1"/>
  <c r="W363" i="6" s="1"/>
  <c r="W364" i="6" s="1"/>
  <c r="W365" i="6" s="1"/>
  <c r="C344" i="6"/>
  <c r="H344" i="6" s="1"/>
  <c r="C343" i="6"/>
  <c r="H343" i="6" s="1"/>
  <c r="C342" i="6"/>
  <c r="H342" i="6" s="1"/>
  <c r="T365" i="6"/>
  <c r="H365" i="6"/>
  <c r="T364" i="6"/>
  <c r="H364" i="6"/>
  <c r="T363" i="6"/>
  <c r="H363" i="6"/>
  <c r="T362" i="6"/>
  <c r="H362" i="6"/>
  <c r="T361" i="6"/>
  <c r="H361" i="6"/>
  <c r="T360" i="6"/>
  <c r="H360" i="6"/>
  <c r="T359" i="6"/>
  <c r="H359" i="6"/>
  <c r="T358" i="6"/>
  <c r="H358" i="6"/>
  <c r="T357" i="6"/>
  <c r="H357" i="6"/>
  <c r="T356" i="6"/>
  <c r="H356" i="6"/>
  <c r="T355" i="6"/>
  <c r="H355" i="6"/>
  <c r="Q354" i="6"/>
  <c r="T354" i="6" s="1"/>
  <c r="O354" i="6"/>
  <c r="J354" i="6"/>
  <c r="K354" i="6" s="1"/>
  <c r="I354" i="6"/>
  <c r="H354" i="6"/>
  <c r="T353" i="6"/>
  <c r="H353" i="6"/>
  <c r="Q352" i="6"/>
  <c r="T352" i="6" s="1"/>
  <c r="O352" i="6"/>
  <c r="J352" i="6"/>
  <c r="K352" i="6" s="1"/>
  <c r="H352" i="6"/>
  <c r="G352" i="6"/>
  <c r="Q351" i="6"/>
  <c r="T351" i="6" s="1"/>
  <c r="O351" i="6"/>
  <c r="J351" i="6"/>
  <c r="K351" i="6" s="1"/>
  <c r="I351" i="6"/>
  <c r="H351" i="6"/>
  <c r="G351" i="6"/>
  <c r="T350" i="6"/>
  <c r="O350" i="6"/>
  <c r="L350" i="6"/>
  <c r="M350" i="6" s="1"/>
  <c r="I350" i="6"/>
  <c r="H350" i="6"/>
  <c r="O349" i="6"/>
  <c r="L349" i="6"/>
  <c r="M349" i="6" s="1"/>
  <c r="I349" i="6"/>
  <c r="H349" i="6"/>
  <c r="G349" i="6"/>
  <c r="O348" i="6"/>
  <c r="L348" i="6"/>
  <c r="M348" i="6" s="1"/>
  <c r="I348" i="6"/>
  <c r="H348" i="6"/>
  <c r="G348" i="6"/>
  <c r="T347" i="6"/>
  <c r="H347" i="6"/>
  <c r="T346" i="6"/>
  <c r="H346" i="6"/>
  <c r="T345" i="6"/>
  <c r="H345" i="6"/>
  <c r="T343" i="6"/>
  <c r="T342" i="6"/>
  <c r="T341" i="6"/>
  <c r="D341" i="6"/>
  <c r="T340" i="6"/>
  <c r="H340" i="6"/>
  <c r="A19" i="35"/>
  <c r="O362" i="6" l="1"/>
  <c r="N344" i="6" s="1"/>
  <c r="AD55" i="7" l="1"/>
  <c r="AC55" i="7"/>
  <c r="L55" i="7"/>
  <c r="K55" i="7"/>
  <c r="J55" i="7"/>
  <c r="I55" i="7"/>
  <c r="A55" i="7"/>
  <c r="R55" i="7" l="1"/>
  <c r="T615" i="6" l="1"/>
  <c r="H615" i="6"/>
  <c r="T614" i="6"/>
  <c r="H614" i="6"/>
  <c r="T613" i="6"/>
  <c r="H613" i="6"/>
  <c r="T612" i="6"/>
  <c r="H612" i="6"/>
  <c r="O611" i="6"/>
  <c r="L611" i="6"/>
  <c r="M611" i="6" s="1"/>
  <c r="I611" i="6"/>
  <c r="H611" i="6"/>
  <c r="I610" i="6"/>
  <c r="H610" i="6"/>
  <c r="I609" i="6"/>
  <c r="H609" i="6"/>
  <c r="I608" i="6"/>
  <c r="H608" i="6"/>
  <c r="AD54" i="7" l="1"/>
  <c r="AC54" i="7"/>
  <c r="L54" i="7"/>
  <c r="K54" i="7"/>
  <c r="J54" i="7"/>
  <c r="I54" i="7"/>
  <c r="A54" i="7"/>
  <c r="R54" i="7" l="1"/>
  <c r="I98" i="44" l="1"/>
  <c r="I46" i="44" l="1"/>
  <c r="I47" i="44"/>
  <c r="I52" i="44"/>
  <c r="I57" i="44"/>
  <c r="I79" i="44"/>
  <c r="S110" i="7" l="1"/>
  <c r="S109" i="7"/>
  <c r="S108" i="7"/>
  <c r="S107" i="7"/>
  <c r="S114" i="7"/>
  <c r="S112" i="7"/>
  <c r="S111" i="7"/>
  <c r="S113" i="7"/>
  <c r="S115" i="7"/>
  <c r="S25" i="7"/>
  <c r="S58" i="7"/>
  <c r="S26" i="7"/>
  <c r="S22" i="7"/>
  <c r="S24" i="7"/>
  <c r="S23" i="7"/>
  <c r="S16" i="7"/>
  <c r="S86" i="7"/>
  <c r="S14" i="7"/>
  <c r="S98" i="7"/>
  <c r="S55" i="7"/>
  <c r="S54" i="7"/>
  <c r="O79" i="44" l="1"/>
  <c r="M79" i="44"/>
  <c r="M47" i="44" l="1"/>
  <c r="O47" i="44"/>
  <c r="M46" i="44" l="1"/>
  <c r="M49" i="44" s="1"/>
  <c r="O46" i="44"/>
  <c r="O49" i="44" s="1"/>
  <c r="D45" i="44"/>
  <c r="D44" i="40" s="1"/>
  <c r="A45" i="44"/>
  <c r="A44" i="40" s="1"/>
  <c r="J25" i="1"/>
  <c r="I49" i="44" l="1"/>
  <c r="W49" i="44"/>
  <c r="J2" i="38" l="1"/>
  <c r="M5" i="40"/>
  <c r="A14" i="35" l="1"/>
  <c r="A27" i="44"/>
  <c r="A26" i="44"/>
  <c r="A25" i="44"/>
  <c r="A24" i="44"/>
  <c r="AC59" i="7" l="1"/>
  <c r="AC57" i="7"/>
  <c r="AC56" i="7"/>
  <c r="AC53" i="7"/>
  <c r="AC52" i="7"/>
  <c r="AC51" i="7"/>
  <c r="R118" i="7" l="1"/>
  <c r="A118" i="7"/>
  <c r="R116" i="7" l="1"/>
  <c r="A116" i="7"/>
  <c r="R106" i="7" l="1"/>
  <c r="R104" i="7"/>
  <c r="R100" i="7"/>
  <c r="R102" i="7"/>
  <c r="A106" i="7"/>
  <c r="R105" i="7"/>
  <c r="A105" i="7"/>
  <c r="A104" i="7"/>
  <c r="R103" i="7"/>
  <c r="A103" i="7"/>
  <c r="A102" i="7"/>
  <c r="A100" i="7"/>
  <c r="F117" i="38" l="1"/>
  <c r="F7" i="33"/>
  <c r="A14" i="32"/>
  <c r="A13" i="32"/>
  <c r="A12" i="32"/>
  <c r="A11" i="32"/>
  <c r="F23" i="38" l="1"/>
  <c r="F43" i="38"/>
  <c r="F10" i="38"/>
  <c r="F14" i="38"/>
  <c r="F22" i="38"/>
  <c r="F30" i="38"/>
  <c r="F38" i="38"/>
  <c r="F42" i="38"/>
  <c r="F50" i="38"/>
  <c r="F54" i="38"/>
  <c r="F58" i="38"/>
  <c r="F62" i="38"/>
  <c r="F66" i="38"/>
  <c r="F70" i="38"/>
  <c r="F78" i="38"/>
  <c r="L635" i="6" s="1"/>
  <c r="M635" i="6" s="1"/>
  <c r="F82" i="38"/>
  <c r="F86" i="38"/>
  <c r="F90" i="38"/>
  <c r="F94" i="38"/>
  <c r="F98" i="38"/>
  <c r="F102" i="38"/>
  <c r="F106" i="38"/>
  <c r="F110" i="38"/>
  <c r="F114" i="38"/>
  <c r="F118" i="38"/>
  <c r="F5" i="38"/>
  <c r="F13" i="38"/>
  <c r="F21" i="38"/>
  <c r="F29" i="38"/>
  <c r="F41" i="38"/>
  <c r="F4" i="38"/>
  <c r="F8" i="38"/>
  <c r="F12" i="38"/>
  <c r="F16" i="38"/>
  <c r="F20" i="38"/>
  <c r="F24" i="38"/>
  <c r="F28" i="38"/>
  <c r="F32" i="38"/>
  <c r="F36" i="38"/>
  <c r="F40" i="38"/>
  <c r="F44" i="38"/>
  <c r="F48" i="38"/>
  <c r="F52" i="38"/>
  <c r="F56" i="38"/>
  <c r="F60" i="38"/>
  <c r="F64" i="38"/>
  <c r="F68" i="38"/>
  <c r="F72" i="38"/>
  <c r="F76" i="38"/>
  <c r="F80" i="38"/>
  <c r="F84" i="38"/>
  <c r="F88" i="38"/>
  <c r="F92" i="38"/>
  <c r="F96" i="38"/>
  <c r="L1364" i="6" s="1"/>
  <c r="M1364" i="6" s="1"/>
  <c r="F100" i="38"/>
  <c r="F104" i="38"/>
  <c r="F108" i="38"/>
  <c r="F112" i="38"/>
  <c r="F116" i="38"/>
  <c r="F120" i="38"/>
  <c r="F15" i="38"/>
  <c r="F31" i="38"/>
  <c r="F51" i="38"/>
  <c r="F63" i="38"/>
  <c r="L1287" i="6" s="1"/>
  <c r="M1287" i="6" s="1"/>
  <c r="F71" i="38"/>
  <c r="F83" i="38"/>
  <c r="F91" i="38"/>
  <c r="F95" i="38"/>
  <c r="F99" i="38"/>
  <c r="F103" i="38"/>
  <c r="F107" i="38"/>
  <c r="F111" i="38"/>
  <c r="F115" i="38"/>
  <c r="F119" i="38"/>
  <c r="F7" i="38"/>
  <c r="F19" i="38"/>
  <c r="F35" i="38"/>
  <c r="F55" i="38"/>
  <c r="F79" i="38"/>
  <c r="F6" i="38"/>
  <c r="F18" i="38"/>
  <c r="F34" i="38"/>
  <c r="F46" i="38"/>
  <c r="F74" i="38"/>
  <c r="F11" i="38"/>
  <c r="F27" i="38"/>
  <c r="F39" i="38"/>
  <c r="F47" i="38"/>
  <c r="F59" i="38"/>
  <c r="F67" i="38"/>
  <c r="F75" i="38"/>
  <c r="F87" i="38"/>
  <c r="F26" i="38"/>
  <c r="F9" i="38"/>
  <c r="F17" i="38"/>
  <c r="F25" i="38"/>
  <c r="F33" i="38"/>
  <c r="F37" i="38"/>
  <c r="L174" i="6" s="1"/>
  <c r="M174" i="6" s="1"/>
  <c r="F45" i="38"/>
  <c r="F49" i="38"/>
  <c r="F53" i="38"/>
  <c r="F57" i="38"/>
  <c r="F61" i="38"/>
  <c r="F65" i="38"/>
  <c r="F69" i="38"/>
  <c r="F73" i="38"/>
  <c r="F77" i="38"/>
  <c r="F81" i="38"/>
  <c r="F85" i="38"/>
  <c r="F89" i="38"/>
  <c r="F93" i="38"/>
  <c r="F97" i="38"/>
  <c r="F101" i="38"/>
  <c r="F105" i="38"/>
  <c r="F109" i="38"/>
  <c r="F113" i="38"/>
  <c r="D12" i="31"/>
  <c r="A14" i="30"/>
  <c r="A13" i="30"/>
  <c r="A12" i="30"/>
  <c r="A11" i="30"/>
  <c r="A13" i="28"/>
  <c r="A12" i="28"/>
  <c r="A11" i="28"/>
  <c r="F8" i="28"/>
  <c r="E8" i="28"/>
  <c r="D8" i="28"/>
  <c r="A13" i="26"/>
  <c r="A12" i="26"/>
  <c r="A11" i="26"/>
  <c r="G8" i="26"/>
  <c r="A10" i="25"/>
  <c r="A10" i="24"/>
  <c r="A10" i="23"/>
  <c r="A10" i="22"/>
  <c r="A10" i="20"/>
  <c r="A11" i="18"/>
  <c r="A10" i="18"/>
  <c r="F7" i="18"/>
  <c r="A20" i="11"/>
  <c r="F15" i="11"/>
  <c r="E15" i="11"/>
  <c r="D15" i="11"/>
  <c r="F14" i="11"/>
  <c r="E14" i="11"/>
  <c r="D14" i="11"/>
  <c r="F13" i="11"/>
  <c r="E13" i="11"/>
  <c r="D13" i="11"/>
  <c r="F12" i="11"/>
  <c r="E12" i="11"/>
  <c r="D12" i="11"/>
  <c r="F11" i="11"/>
  <c r="E11" i="11"/>
  <c r="D11" i="11"/>
  <c r="F10" i="11"/>
  <c r="E10" i="11"/>
  <c r="D10" i="11"/>
  <c r="F9" i="11"/>
  <c r="E9" i="11"/>
  <c r="D9" i="11"/>
  <c r="F8" i="11"/>
  <c r="E8" i="11"/>
  <c r="D8" i="11"/>
  <c r="A20" i="10"/>
  <c r="A19" i="10"/>
  <c r="F18" i="10" s="1"/>
  <c r="I15" i="10"/>
  <c r="I14" i="10"/>
  <c r="I13" i="10"/>
  <c r="I12" i="10"/>
  <c r="I11" i="10"/>
  <c r="I10" i="10"/>
  <c r="I9" i="10"/>
  <c r="I8" i="10"/>
  <c r="I7" i="10"/>
  <c r="F7" i="10"/>
  <c r="I17" i="9"/>
  <c r="L1363" i="6" l="1"/>
  <c r="M1363" i="6" s="1"/>
  <c r="M1376" i="6" s="1"/>
  <c r="L1358" i="6" s="1"/>
  <c r="L1391" i="6"/>
  <c r="M1391" i="6" s="1"/>
  <c r="L1340" i="6"/>
  <c r="M1340" i="6" s="1"/>
  <c r="L1389" i="6"/>
  <c r="M1389" i="6" s="1"/>
  <c r="L1338" i="6"/>
  <c r="M1338" i="6" s="1"/>
  <c r="L1390" i="6"/>
  <c r="M1390" i="6" s="1"/>
  <c r="L1339" i="6"/>
  <c r="M1339" i="6" s="1"/>
  <c r="L1288" i="6"/>
  <c r="M1288" i="6" s="1"/>
  <c r="L1417" i="6"/>
  <c r="M1417" i="6" s="1"/>
  <c r="L1312" i="6"/>
  <c r="M1312" i="6" s="1"/>
  <c r="L1311" i="6"/>
  <c r="M1311" i="6" s="1"/>
  <c r="L1416" i="6"/>
  <c r="M1416" i="6" s="1"/>
  <c r="L1337" i="6"/>
  <c r="M1337" i="6" s="1"/>
  <c r="L1286" i="6"/>
  <c r="M1286" i="6" s="1"/>
  <c r="L1260" i="6"/>
  <c r="M1260" i="6" s="1"/>
  <c r="L1415" i="6"/>
  <c r="M1415" i="6" s="1"/>
  <c r="L1419" i="6"/>
  <c r="M1419" i="6" s="1"/>
  <c r="L1421" i="6"/>
  <c r="M1421" i="6" s="1"/>
  <c r="L1285" i="6"/>
  <c r="M1285" i="6" s="1"/>
  <c r="L1259" i="6"/>
  <c r="M1259" i="6" s="1"/>
  <c r="L1420" i="6"/>
  <c r="M1420" i="6" s="1"/>
  <c r="L1418" i="6"/>
  <c r="M1418" i="6" s="1"/>
  <c r="L246" i="6"/>
  <c r="M246" i="6" s="1"/>
  <c r="L114" i="6"/>
  <c r="M114" i="6" s="1"/>
  <c r="L140" i="6"/>
  <c r="M140" i="6" s="1"/>
  <c r="L116" i="6"/>
  <c r="M116" i="6" s="1"/>
  <c r="L142" i="6"/>
  <c r="M142" i="6" s="1"/>
  <c r="L141" i="6"/>
  <c r="M141" i="6" s="1"/>
  <c r="L115" i="6"/>
  <c r="M115" i="6" s="1"/>
  <c r="L221" i="6"/>
  <c r="M221" i="6" s="1"/>
  <c r="L247" i="6"/>
  <c r="M247" i="6" s="1"/>
  <c r="M258" i="6" s="1"/>
  <c r="L240" i="6" s="1"/>
  <c r="L194" i="6"/>
  <c r="M194" i="6" s="1"/>
  <c r="L220" i="6"/>
  <c r="M220" i="6" s="1"/>
  <c r="L195" i="6"/>
  <c r="M195" i="6" s="1"/>
  <c r="I19" i="9"/>
  <c r="L351" i="6"/>
  <c r="M351" i="6" s="1"/>
  <c r="L354" i="6"/>
  <c r="M354" i="6" s="1"/>
  <c r="L352" i="6"/>
  <c r="M352" i="6" s="1"/>
  <c r="G9" i="11"/>
  <c r="G13" i="11"/>
  <c r="G10" i="11"/>
  <c r="G11" i="11"/>
  <c r="G12" i="11"/>
  <c r="F8" i="30"/>
  <c r="M1402" i="6" l="1"/>
  <c r="L1384" i="6" s="1"/>
  <c r="M154" i="6"/>
  <c r="J143" i="6" s="1"/>
  <c r="K143" i="6" s="1"/>
  <c r="K154" i="6" s="1"/>
  <c r="J136" i="6" s="1"/>
  <c r="M128" i="6"/>
  <c r="J248" i="6"/>
  <c r="K248" i="6" s="1"/>
  <c r="J222" i="6"/>
  <c r="K222" i="6" s="1"/>
  <c r="J196" i="6"/>
  <c r="K196" i="6" s="1"/>
  <c r="J353" i="6"/>
  <c r="K353" i="6" s="1"/>
  <c r="M362" i="6"/>
  <c r="L344" i="6" s="1"/>
  <c r="G17" i="11"/>
  <c r="G19" i="11" s="1"/>
  <c r="L136" i="6" l="1"/>
  <c r="Q136" i="6" s="1"/>
  <c r="T136" i="6" s="1"/>
  <c r="L110" i="6"/>
  <c r="J117" i="6"/>
  <c r="K117" i="6" s="1"/>
  <c r="K128" i="6" s="1"/>
  <c r="J110" i="6" s="1"/>
  <c r="R122" i="7"/>
  <c r="A122" i="7"/>
  <c r="R120" i="7"/>
  <c r="A120" i="7"/>
  <c r="R123" i="7"/>
  <c r="A123" i="7"/>
  <c r="R119" i="7"/>
  <c r="A119" i="7"/>
  <c r="R117" i="7"/>
  <c r="A117" i="7"/>
  <c r="R121" i="7"/>
  <c r="A121" i="7"/>
  <c r="R99" i="7"/>
  <c r="A99" i="7"/>
  <c r="Q110" i="6" l="1"/>
  <c r="T110" i="6" s="1"/>
  <c r="L97" i="7"/>
  <c r="K97" i="7"/>
  <c r="R97" i="7" s="1"/>
  <c r="A97" i="7"/>
  <c r="L96" i="7"/>
  <c r="K96" i="7"/>
  <c r="R96" i="7" s="1"/>
  <c r="A96" i="7"/>
  <c r="L95" i="7"/>
  <c r="K95" i="7"/>
  <c r="R95" i="7" s="1"/>
  <c r="A95" i="7"/>
  <c r="L94" i="7"/>
  <c r="K94" i="7"/>
  <c r="R94" i="7" s="1"/>
  <c r="A94" i="7"/>
  <c r="L93" i="7"/>
  <c r="K93" i="7"/>
  <c r="R93" i="7" s="1"/>
  <c r="A93" i="7"/>
  <c r="L92" i="7"/>
  <c r="K92" i="7"/>
  <c r="R92" i="7" s="1"/>
  <c r="A92" i="7"/>
  <c r="L91" i="7"/>
  <c r="K91" i="7"/>
  <c r="R91" i="7" s="1"/>
  <c r="A91" i="7"/>
  <c r="L90" i="7"/>
  <c r="K90" i="7"/>
  <c r="R90" i="7" s="1"/>
  <c r="A90" i="7"/>
  <c r="R89" i="7"/>
  <c r="A89" i="7"/>
  <c r="M88" i="7"/>
  <c r="A88" i="7"/>
  <c r="R87" i="7"/>
  <c r="A87" i="7"/>
  <c r="R85" i="7"/>
  <c r="A85" i="7"/>
  <c r="R84" i="7"/>
  <c r="A84" i="7"/>
  <c r="R83" i="7"/>
  <c r="A83" i="7"/>
  <c r="R82" i="7" l="1"/>
  <c r="A82" i="7"/>
  <c r="R81" i="7"/>
  <c r="A81" i="7"/>
  <c r="R80" i="7"/>
  <c r="A80" i="7"/>
  <c r="R79" i="7" l="1"/>
  <c r="A79" i="7"/>
  <c r="R78" i="7" l="1"/>
  <c r="A78" i="7"/>
  <c r="AI77" i="7"/>
  <c r="L77" i="7"/>
  <c r="K77" i="7"/>
  <c r="R77" i="7" s="1"/>
  <c r="A77" i="7"/>
  <c r="AI76" i="7" l="1"/>
  <c r="L76" i="7"/>
  <c r="K76" i="7"/>
  <c r="R76" i="7" s="1"/>
  <c r="A76" i="7"/>
  <c r="AI75" i="7"/>
  <c r="L75" i="7"/>
  <c r="K75" i="7"/>
  <c r="R75" i="7" s="1"/>
  <c r="A75" i="7"/>
  <c r="AI74" i="7"/>
  <c r="L74" i="7"/>
  <c r="K74" i="7"/>
  <c r="R74" i="7" s="1"/>
  <c r="A74" i="7"/>
  <c r="AI73" i="7"/>
  <c r="L73" i="7"/>
  <c r="K73" i="7"/>
  <c r="R73" i="7" s="1"/>
  <c r="A73" i="7"/>
  <c r="AI72" i="7"/>
  <c r="L72" i="7"/>
  <c r="K72" i="7"/>
  <c r="R72" i="7" s="1"/>
  <c r="A72" i="7"/>
  <c r="AD71" i="7"/>
  <c r="L71" i="7"/>
  <c r="K71" i="7"/>
  <c r="J71" i="7"/>
  <c r="I71" i="7"/>
  <c r="A71" i="7"/>
  <c r="AI70" i="7"/>
  <c r="AD70" i="7"/>
  <c r="L70" i="7"/>
  <c r="K70" i="7"/>
  <c r="J70" i="7"/>
  <c r="I70" i="7"/>
  <c r="A70" i="7"/>
  <c r="AI69" i="7"/>
  <c r="AD69" i="7"/>
  <c r="L69" i="7"/>
  <c r="K69" i="7"/>
  <c r="J69" i="7"/>
  <c r="I69" i="7"/>
  <c r="A69" i="7"/>
  <c r="AI68" i="7"/>
  <c r="AD68" i="7"/>
  <c r="L68" i="7"/>
  <c r="K68" i="7"/>
  <c r="J68" i="7"/>
  <c r="I68" i="7"/>
  <c r="A68" i="7"/>
  <c r="AI67" i="7"/>
  <c r="AD67" i="7"/>
  <c r="L67" i="7"/>
  <c r="K67" i="7"/>
  <c r="J67" i="7"/>
  <c r="I67" i="7"/>
  <c r="A67" i="7"/>
  <c r="AD66" i="7"/>
  <c r="AC66" i="7"/>
  <c r="L66" i="7"/>
  <c r="K66" i="7"/>
  <c r="J66" i="7"/>
  <c r="A66" i="7"/>
  <c r="AD65" i="7"/>
  <c r="L65" i="7"/>
  <c r="K65" i="7"/>
  <c r="J65" i="7"/>
  <c r="I65" i="7"/>
  <c r="A65" i="7"/>
  <c r="AI64" i="7"/>
  <c r="AD64" i="7"/>
  <c r="L64" i="7"/>
  <c r="K64" i="7"/>
  <c r="J64" i="7"/>
  <c r="I64" i="7"/>
  <c r="A64" i="7"/>
  <c r="AI63" i="7"/>
  <c r="AD63" i="7"/>
  <c r="L63" i="7"/>
  <c r="K63" i="7"/>
  <c r="J63" i="7"/>
  <c r="I63" i="7"/>
  <c r="A63" i="7"/>
  <c r="I66" i="7" l="1"/>
  <c r="R66" i="7" s="1"/>
  <c r="R64" i="7"/>
  <c r="R69" i="7"/>
  <c r="R65" i="7"/>
  <c r="R71" i="7"/>
  <c r="R70" i="7"/>
  <c r="R68" i="7"/>
  <c r="R63" i="7"/>
  <c r="R67" i="7"/>
  <c r="AI62" i="7"/>
  <c r="AD62" i="7"/>
  <c r="L62" i="7"/>
  <c r="K62" i="7"/>
  <c r="J62" i="7"/>
  <c r="I62" i="7"/>
  <c r="A62" i="7"/>
  <c r="AI61" i="7"/>
  <c r="AH61" i="7"/>
  <c r="AD61" i="7"/>
  <c r="AC61" i="7"/>
  <c r="L61" i="7"/>
  <c r="J61" i="7"/>
  <c r="K61" i="7" l="1"/>
  <c r="R62" i="7"/>
  <c r="I61" i="7"/>
  <c r="A61" i="7"/>
  <c r="AD60" i="7"/>
  <c r="L60" i="7"/>
  <c r="K60" i="7"/>
  <c r="J60" i="7"/>
  <c r="I60" i="7"/>
  <c r="A60" i="7"/>
  <c r="AI59" i="7"/>
  <c r="AH59" i="7"/>
  <c r="AD59" i="7"/>
  <c r="L59" i="7"/>
  <c r="J59" i="7"/>
  <c r="A59" i="7"/>
  <c r="AI57" i="7"/>
  <c r="AH57" i="7"/>
  <c r="AD57" i="7"/>
  <c r="L57" i="7"/>
  <c r="J57" i="7"/>
  <c r="A57" i="7"/>
  <c r="AI56" i="7"/>
  <c r="AH56" i="7"/>
  <c r="AD56" i="7"/>
  <c r="L56" i="7"/>
  <c r="J56" i="7"/>
  <c r="A56" i="7"/>
  <c r="AI53" i="7"/>
  <c r="AH53" i="7"/>
  <c r="AD53" i="7"/>
  <c r="L53" i="7"/>
  <c r="J53" i="7"/>
  <c r="A53" i="7"/>
  <c r="AI52" i="7"/>
  <c r="AH52" i="7"/>
  <c r="AD52" i="7"/>
  <c r="L52" i="7"/>
  <c r="J52" i="7"/>
  <c r="A52" i="7"/>
  <c r="AI51" i="7"/>
  <c r="AH51" i="7"/>
  <c r="AD51" i="7"/>
  <c r="L51" i="7"/>
  <c r="J51" i="7"/>
  <c r="A51" i="7"/>
  <c r="AD50" i="7"/>
  <c r="L50" i="7"/>
  <c r="K50" i="7"/>
  <c r="J50" i="7"/>
  <c r="I50" i="7"/>
  <c r="A50" i="7"/>
  <c r="AD49" i="7"/>
  <c r="L49" i="7"/>
  <c r="K49" i="7"/>
  <c r="J49" i="7"/>
  <c r="I49" i="7"/>
  <c r="A49" i="7"/>
  <c r="AD48" i="7"/>
  <c r="L48" i="7"/>
  <c r="K48" i="7"/>
  <c r="J48" i="7"/>
  <c r="I48" i="7"/>
  <c r="A48" i="7"/>
  <c r="AD47" i="7"/>
  <c r="L47" i="7"/>
  <c r="K47" i="7"/>
  <c r="J47" i="7"/>
  <c r="I47" i="7"/>
  <c r="A47" i="7"/>
  <c r="AD46" i="7"/>
  <c r="L46" i="7"/>
  <c r="K46" i="7"/>
  <c r="J46" i="7"/>
  <c r="I46" i="7"/>
  <c r="A46" i="7"/>
  <c r="AD45" i="7"/>
  <c r="L45" i="7"/>
  <c r="K45" i="7"/>
  <c r="J45" i="7"/>
  <c r="I45" i="7"/>
  <c r="A45" i="7"/>
  <c r="AI44" i="7"/>
  <c r="AD44" i="7"/>
  <c r="L44" i="7"/>
  <c r="K44" i="7"/>
  <c r="J44" i="7"/>
  <c r="I44" i="7"/>
  <c r="A44" i="7"/>
  <c r="AI43" i="7"/>
  <c r="AD43" i="7"/>
  <c r="L43" i="7"/>
  <c r="K43" i="7"/>
  <c r="J43" i="7"/>
  <c r="I43" i="7"/>
  <c r="A43" i="7"/>
  <c r="AI42" i="7"/>
  <c r="AD42" i="7"/>
  <c r="L42" i="7"/>
  <c r="K42" i="7"/>
  <c r="J42" i="7"/>
  <c r="I42" i="7"/>
  <c r="A42" i="7"/>
  <c r="AI41" i="7"/>
  <c r="AD41" i="7"/>
  <c r="L41" i="7"/>
  <c r="K41" i="7"/>
  <c r="J41" i="7"/>
  <c r="I41" i="7"/>
  <c r="A41" i="7"/>
  <c r="AI40" i="7"/>
  <c r="AD40" i="7"/>
  <c r="L40" i="7"/>
  <c r="K40" i="7"/>
  <c r="J40" i="7"/>
  <c r="I40" i="7"/>
  <c r="A40" i="7"/>
  <c r="AI39" i="7"/>
  <c r="AD39" i="7"/>
  <c r="L39" i="7"/>
  <c r="K39" i="7"/>
  <c r="J39" i="7"/>
  <c r="I39" i="7"/>
  <c r="A39" i="7"/>
  <c r="AD38" i="7"/>
  <c r="L38" i="7"/>
  <c r="K38" i="7"/>
  <c r="J38" i="7"/>
  <c r="I38" i="7"/>
  <c r="A38" i="7"/>
  <c r="AI37" i="7"/>
  <c r="AD37" i="7"/>
  <c r="L37" i="7"/>
  <c r="K37" i="7"/>
  <c r="J37" i="7"/>
  <c r="I37" i="7"/>
  <c r="A37" i="7"/>
  <c r="AI36" i="7"/>
  <c r="AD36" i="7"/>
  <c r="L36" i="7"/>
  <c r="K36" i="7"/>
  <c r="J36" i="7"/>
  <c r="I36" i="7"/>
  <c r="A36" i="7"/>
  <c r="AI35" i="7"/>
  <c r="AD35" i="7"/>
  <c r="L35" i="7"/>
  <c r="K35" i="7"/>
  <c r="J35" i="7"/>
  <c r="I35" i="7"/>
  <c r="A35" i="7"/>
  <c r="AI34" i="7"/>
  <c r="AD34" i="7"/>
  <c r="L34" i="7"/>
  <c r="K34" i="7"/>
  <c r="J34" i="7"/>
  <c r="I34" i="7"/>
  <c r="A34" i="7"/>
  <c r="AI33" i="7"/>
  <c r="AD33" i="7"/>
  <c r="L33" i="7"/>
  <c r="K33" i="7"/>
  <c r="J33" i="7"/>
  <c r="I33" i="7"/>
  <c r="A33" i="7"/>
  <c r="AI32" i="7"/>
  <c r="AD32" i="7"/>
  <c r="L32" i="7"/>
  <c r="K32" i="7"/>
  <c r="J32" i="7"/>
  <c r="I32" i="7"/>
  <c r="A32" i="7"/>
  <c r="AI31" i="7"/>
  <c r="AD31" i="7"/>
  <c r="L31" i="7"/>
  <c r="K31" i="7"/>
  <c r="J31" i="7"/>
  <c r="I31" i="7"/>
  <c r="A31" i="7"/>
  <c r="AI30" i="7"/>
  <c r="AD30" i="7"/>
  <c r="L30" i="7"/>
  <c r="K30" i="7"/>
  <c r="J30" i="7"/>
  <c r="I30" i="7"/>
  <c r="A30" i="7"/>
  <c r="AI29" i="7"/>
  <c r="AD29" i="7"/>
  <c r="L29" i="7"/>
  <c r="K29" i="7"/>
  <c r="J29" i="7"/>
  <c r="I29" i="7"/>
  <c r="A29" i="7"/>
  <c r="AI28" i="7"/>
  <c r="AD28" i="7"/>
  <c r="L28" i="7"/>
  <c r="K28" i="7"/>
  <c r="J28" i="7"/>
  <c r="I28" i="7"/>
  <c r="A28" i="7"/>
  <c r="AI27" i="7"/>
  <c r="AD27" i="7"/>
  <c r="L27" i="7"/>
  <c r="K27" i="7"/>
  <c r="J27" i="7"/>
  <c r="I27" i="7"/>
  <c r="A27" i="7"/>
  <c r="AI21" i="7"/>
  <c r="AD21" i="7"/>
  <c r="L21" i="7"/>
  <c r="K21" i="7"/>
  <c r="J21" i="7"/>
  <c r="I21" i="7"/>
  <c r="A21" i="7"/>
  <c r="AI20" i="7"/>
  <c r="AD20" i="7"/>
  <c r="L20" i="7"/>
  <c r="K20" i="7"/>
  <c r="J20" i="7"/>
  <c r="I20" i="7"/>
  <c r="A20" i="7"/>
  <c r="AI19" i="7"/>
  <c r="AD19" i="7"/>
  <c r="L19" i="7"/>
  <c r="K19" i="7"/>
  <c r="J19" i="7"/>
  <c r="I19" i="7"/>
  <c r="A19" i="7"/>
  <c r="AI18" i="7"/>
  <c r="AD18" i="7"/>
  <c r="L18" i="7"/>
  <c r="K18" i="7"/>
  <c r="J18" i="7"/>
  <c r="I18" i="7"/>
  <c r="A18" i="7"/>
  <c r="AI17" i="7"/>
  <c r="AD17" i="7"/>
  <c r="L17" i="7"/>
  <c r="K17" i="7"/>
  <c r="J17" i="7"/>
  <c r="I17" i="7"/>
  <c r="A17" i="7"/>
  <c r="R17" i="7" l="1"/>
  <c r="R20" i="7"/>
  <c r="R28" i="7"/>
  <c r="R35" i="7"/>
  <c r="R38" i="7"/>
  <c r="R41" i="7"/>
  <c r="R46" i="7"/>
  <c r="R48" i="7"/>
  <c r="R61" i="7"/>
  <c r="R50" i="7"/>
  <c r="I51" i="7"/>
  <c r="I56" i="7"/>
  <c r="K51" i="7"/>
  <c r="K56" i="7"/>
  <c r="R19" i="7"/>
  <c r="R27" i="7"/>
  <c r="R33" i="7"/>
  <c r="R40" i="7"/>
  <c r="I53" i="7"/>
  <c r="I59" i="7"/>
  <c r="K57" i="7"/>
  <c r="K52" i="7"/>
  <c r="I57" i="7"/>
  <c r="I52" i="7"/>
  <c r="K53" i="7"/>
  <c r="K59" i="7"/>
  <c r="R21" i="7"/>
  <c r="R29" i="7"/>
  <c r="R31" i="7"/>
  <c r="R36" i="7"/>
  <c r="R42" i="7"/>
  <c r="R44" i="7"/>
  <c r="R18" i="7"/>
  <c r="R30" i="7"/>
  <c r="R32" i="7"/>
  <c r="R34" i="7"/>
  <c r="R37" i="7"/>
  <c r="R39" i="7"/>
  <c r="R43" i="7"/>
  <c r="R45" i="7"/>
  <c r="R47" i="7"/>
  <c r="R49" i="7"/>
  <c r="R60" i="7"/>
  <c r="AD15" i="7"/>
  <c r="R57" i="7" l="1"/>
  <c r="R59" i="7"/>
  <c r="R51" i="7"/>
  <c r="R56" i="7"/>
  <c r="R53" i="7"/>
  <c r="R52" i="7"/>
  <c r="L15" i="7"/>
  <c r="K15" i="7"/>
  <c r="J15" i="7"/>
  <c r="I15" i="7"/>
  <c r="A15" i="7"/>
  <c r="AI13" i="7"/>
  <c r="AD13" i="7"/>
  <c r="L13" i="7"/>
  <c r="K13" i="7"/>
  <c r="J13" i="7"/>
  <c r="I13" i="7"/>
  <c r="A13" i="7"/>
  <c r="AI12" i="7"/>
  <c r="AD12" i="7"/>
  <c r="L12" i="7"/>
  <c r="K12" i="7"/>
  <c r="J12" i="7"/>
  <c r="I12" i="7"/>
  <c r="A12" i="7"/>
  <c r="AD11" i="7"/>
  <c r="L11" i="7"/>
  <c r="K11" i="7"/>
  <c r="J11" i="7"/>
  <c r="I11" i="7"/>
  <c r="A11" i="7"/>
  <c r="AD10" i="7"/>
  <c r="L10" i="7"/>
  <c r="K10" i="7"/>
  <c r="J10" i="7"/>
  <c r="I10" i="7"/>
  <c r="A10" i="7"/>
  <c r="AD9" i="7"/>
  <c r="L9" i="7"/>
  <c r="K9" i="7"/>
  <c r="J9" i="7"/>
  <c r="I9" i="7"/>
  <c r="A9" i="7"/>
  <c r="AD8" i="7"/>
  <c r="L8" i="7"/>
  <c r="K8" i="7"/>
  <c r="J8" i="7"/>
  <c r="I8" i="7"/>
  <c r="A8" i="7"/>
  <c r="R191" i="44" l="1"/>
  <c r="J191" i="44"/>
  <c r="R165" i="44"/>
  <c r="R166" i="44"/>
  <c r="R162" i="44"/>
  <c r="R167" i="44"/>
  <c r="R163" i="44"/>
  <c r="Q1362" i="6"/>
  <c r="T1362" i="6" s="1"/>
  <c r="Q1388" i="6"/>
  <c r="T1388" i="6" s="1"/>
  <c r="J1388" i="6"/>
  <c r="K1388" i="6" s="1"/>
  <c r="K1402" i="6" s="1"/>
  <c r="J1384" i="6" s="1"/>
  <c r="Q1384" i="6" s="1"/>
  <c r="T1384" i="6" s="1"/>
  <c r="J1362" i="6"/>
  <c r="K1362" i="6" s="1"/>
  <c r="K1376" i="6" s="1"/>
  <c r="J1358" i="6" s="1"/>
  <c r="Q1358" i="6" s="1"/>
  <c r="T1358" i="6" s="1"/>
  <c r="J1414" i="6"/>
  <c r="K1414" i="6" s="1"/>
  <c r="J1284" i="6"/>
  <c r="K1284" i="6" s="1"/>
  <c r="J1336" i="6"/>
  <c r="K1336" i="6" s="1"/>
  <c r="J1258" i="6"/>
  <c r="K1258" i="6" s="1"/>
  <c r="J1310" i="6"/>
  <c r="K1310" i="6" s="1"/>
  <c r="Q1258" i="6"/>
  <c r="T1258" i="6" s="1"/>
  <c r="Q1284" i="6"/>
  <c r="T1284" i="6" s="1"/>
  <c r="Q1310" i="6"/>
  <c r="T1310" i="6" s="1"/>
  <c r="Q1414" i="6"/>
  <c r="T1414" i="6" s="1"/>
  <c r="Q1336" i="6"/>
  <c r="T1336" i="6" s="1"/>
  <c r="J32" i="44"/>
  <c r="K32" i="44" s="1"/>
  <c r="P32" i="44" s="1"/>
  <c r="R32" i="44"/>
  <c r="R93" i="44"/>
  <c r="R94" i="44"/>
  <c r="R112" i="44"/>
  <c r="R127" i="44"/>
  <c r="J142" i="44"/>
  <c r="U142" i="44" s="1"/>
  <c r="R134" i="44"/>
  <c r="R136" i="44"/>
  <c r="R131" i="44"/>
  <c r="R142" i="44"/>
  <c r="R138" i="44"/>
  <c r="J140" i="44"/>
  <c r="U140" i="44" s="1"/>
  <c r="J131" i="44"/>
  <c r="U131" i="44" s="1"/>
  <c r="J144" i="44"/>
  <c r="U144" i="44" s="1"/>
  <c r="J134" i="44"/>
  <c r="U134" i="44" s="1"/>
  <c r="J136" i="44"/>
  <c r="U136" i="44" s="1"/>
  <c r="R132" i="44"/>
  <c r="R144" i="44"/>
  <c r="R140" i="44"/>
  <c r="J138" i="44"/>
  <c r="J132" i="44"/>
  <c r="U132" i="44" s="1"/>
  <c r="Q218" i="6"/>
  <c r="T218" i="6" s="1"/>
  <c r="Q244" i="6"/>
  <c r="T244" i="6" s="1"/>
  <c r="R129" i="44"/>
  <c r="R37" i="44"/>
  <c r="J244" i="6"/>
  <c r="K244" i="6" s="1"/>
  <c r="J218" i="6"/>
  <c r="K218" i="6" s="1"/>
  <c r="J219" i="6" s="1"/>
  <c r="K219" i="6" s="1"/>
  <c r="Q634" i="6"/>
  <c r="T634" i="6" s="1"/>
  <c r="R176" i="44"/>
  <c r="R62" i="44"/>
  <c r="J62" i="44"/>
  <c r="U62" i="44" s="1"/>
  <c r="R171" i="44"/>
  <c r="R175" i="44"/>
  <c r="R169" i="44"/>
  <c r="R173" i="44"/>
  <c r="R8" i="7"/>
  <c r="R12" i="7"/>
  <c r="R10" i="7"/>
  <c r="R9" i="7"/>
  <c r="R11" i="7"/>
  <c r="R13" i="7"/>
  <c r="R15" i="7"/>
  <c r="U191" i="44" l="1"/>
  <c r="K191" i="44"/>
  <c r="P191" i="44" s="1"/>
  <c r="K138" i="44"/>
  <c r="P138" i="44" s="1"/>
  <c r="U138" i="44"/>
  <c r="K132" i="44"/>
  <c r="P132" i="44" s="1"/>
  <c r="K131" i="44"/>
  <c r="P131" i="44" s="1"/>
  <c r="K144" i="44"/>
  <c r="P144" i="44" s="1"/>
  <c r="K142" i="44"/>
  <c r="P142" i="44" s="1"/>
  <c r="K134" i="44"/>
  <c r="P134" i="44" s="1"/>
  <c r="K136" i="44"/>
  <c r="P136" i="44" s="1"/>
  <c r="K140" i="44"/>
  <c r="P140" i="44" s="1"/>
  <c r="J245" i="6"/>
  <c r="K245" i="6" s="1"/>
  <c r="K258" i="6" s="1"/>
  <c r="J240" i="6" s="1"/>
  <c r="Q240" i="6" s="1"/>
  <c r="T240" i="6" s="1"/>
  <c r="K62" i="44"/>
  <c r="P62" i="44" s="1"/>
  <c r="AG6" i="7"/>
  <c r="AF6" i="7"/>
  <c r="AB6" i="7"/>
  <c r="AA6" i="7"/>
  <c r="AE5" i="7"/>
  <c r="Z5" i="7"/>
  <c r="S4" i="7"/>
  <c r="Q348" i="6" l="1"/>
  <c r="T348" i="6" s="1"/>
  <c r="Q349" i="6"/>
  <c r="T349" i="6" s="1"/>
  <c r="Q611" i="6"/>
  <c r="T611" i="6" s="1"/>
  <c r="R46" i="44"/>
  <c r="R47" i="44"/>
  <c r="R79" i="44"/>
  <c r="S118" i="7"/>
  <c r="J166" i="44" s="1"/>
  <c r="S116" i="7"/>
  <c r="J162" i="44" s="1"/>
  <c r="S106" i="7"/>
  <c r="S104" i="7"/>
  <c r="J93" i="44" s="1"/>
  <c r="U93" i="44" s="1"/>
  <c r="S105" i="7"/>
  <c r="J94" i="44" s="1"/>
  <c r="U94" i="44" s="1"/>
  <c r="S103" i="7"/>
  <c r="S102" i="7"/>
  <c r="J37" i="44" s="1"/>
  <c r="U37" i="44" s="1"/>
  <c r="S5" i="7"/>
  <c r="S100" i="7"/>
  <c r="J634" i="6" s="1"/>
  <c r="K634" i="6" s="1"/>
  <c r="S122" i="7"/>
  <c r="S99" i="7"/>
  <c r="S120" i="7"/>
  <c r="S123" i="7"/>
  <c r="S119" i="7"/>
  <c r="J167" i="44" s="1"/>
  <c r="S117" i="7"/>
  <c r="J165" i="44" s="1"/>
  <c r="S121" i="7"/>
  <c r="J163" i="44" s="1"/>
  <c r="S97" i="7"/>
  <c r="S95" i="7"/>
  <c r="S92" i="7"/>
  <c r="S91" i="7"/>
  <c r="S89" i="7"/>
  <c r="S87" i="7"/>
  <c r="S85" i="7"/>
  <c r="S83" i="7"/>
  <c r="S96" i="7"/>
  <c r="S94" i="7"/>
  <c r="S93" i="7"/>
  <c r="S90" i="7"/>
  <c r="S84" i="7"/>
  <c r="S81" i="7"/>
  <c r="S82" i="7"/>
  <c r="S80" i="7"/>
  <c r="S79" i="7"/>
  <c r="S78" i="7"/>
  <c r="S77" i="7"/>
  <c r="S76" i="7"/>
  <c r="S73" i="7"/>
  <c r="J46" i="44" s="1"/>
  <c r="U46" i="44" s="1"/>
  <c r="S70" i="7"/>
  <c r="S69" i="7"/>
  <c r="S68" i="7"/>
  <c r="S66" i="7"/>
  <c r="S63" i="7"/>
  <c r="S72" i="7"/>
  <c r="S64" i="7"/>
  <c r="S75" i="7"/>
  <c r="S71" i="7"/>
  <c r="S67" i="7"/>
  <c r="S65" i="7"/>
  <c r="S74" i="7"/>
  <c r="J47" i="44" s="1"/>
  <c r="U47" i="44" s="1"/>
  <c r="S62" i="7"/>
  <c r="S61" i="7"/>
  <c r="S49" i="7"/>
  <c r="S45" i="7"/>
  <c r="S36" i="7"/>
  <c r="S33" i="7"/>
  <c r="S31" i="7"/>
  <c r="S29" i="7"/>
  <c r="S27" i="7"/>
  <c r="S59" i="7"/>
  <c r="S57" i="7"/>
  <c r="S53" i="7"/>
  <c r="S50" i="7"/>
  <c r="S46" i="7"/>
  <c r="S42" i="7"/>
  <c r="S40" i="7"/>
  <c r="S20" i="7"/>
  <c r="S18" i="7"/>
  <c r="S17" i="7"/>
  <c r="S60" i="7"/>
  <c r="S47" i="7"/>
  <c r="S44" i="7"/>
  <c r="S38" i="7"/>
  <c r="S37" i="7"/>
  <c r="S35" i="7"/>
  <c r="S34" i="7"/>
  <c r="S32" i="7"/>
  <c r="S30" i="7"/>
  <c r="S28" i="7"/>
  <c r="S19" i="7"/>
  <c r="S56" i="7"/>
  <c r="S52" i="7"/>
  <c r="S51" i="7"/>
  <c r="S48" i="7"/>
  <c r="S43" i="7"/>
  <c r="S41" i="7"/>
  <c r="S39" i="7"/>
  <c r="S21" i="7"/>
  <c r="S10" i="7"/>
  <c r="S11" i="7"/>
  <c r="S15" i="7"/>
  <c r="S8" i="7"/>
  <c r="S13" i="7"/>
  <c r="S12" i="7"/>
  <c r="S9" i="7"/>
  <c r="U165" i="44" l="1"/>
  <c r="K165" i="44"/>
  <c r="P165" i="44" s="1"/>
  <c r="U163" i="44"/>
  <c r="K163" i="44"/>
  <c r="P163" i="44" s="1"/>
  <c r="U166" i="44"/>
  <c r="K166" i="44"/>
  <c r="P166" i="44" s="1"/>
  <c r="U167" i="44"/>
  <c r="K167" i="44"/>
  <c r="P167" i="44" s="1"/>
  <c r="U162" i="44"/>
  <c r="K162" i="44"/>
  <c r="P162" i="44" s="1"/>
  <c r="J169" i="44"/>
  <c r="U169" i="44" s="1"/>
  <c r="J176" i="44"/>
  <c r="U176" i="44" s="1"/>
  <c r="J112" i="44"/>
  <c r="J127" i="44"/>
  <c r="U127" i="44" s="1"/>
  <c r="K94" i="44"/>
  <c r="P94" i="44" s="1"/>
  <c r="K93" i="44"/>
  <c r="P93" i="44" s="1"/>
  <c r="J79" i="44"/>
  <c r="U79" i="44" s="1"/>
  <c r="J175" i="44"/>
  <c r="U175" i="44" s="1"/>
  <c r="J173" i="44"/>
  <c r="U173" i="44" s="1"/>
  <c r="J171" i="44"/>
  <c r="U171" i="44" s="1"/>
  <c r="K37" i="44"/>
  <c r="P37" i="44" s="1"/>
  <c r="J129" i="44"/>
  <c r="U129" i="44" s="1"/>
  <c r="J349" i="6"/>
  <c r="K349" i="6" s="1"/>
  <c r="J348" i="6"/>
  <c r="K348" i="6" s="1"/>
  <c r="J350" i="6" s="1"/>
  <c r="K350" i="6" s="1"/>
  <c r="K47" i="44"/>
  <c r="P47" i="44" s="1"/>
  <c r="K46" i="44"/>
  <c r="J611" i="6"/>
  <c r="K611" i="6" s="1"/>
  <c r="K176" i="44" l="1"/>
  <c r="P176" i="44" s="1"/>
  <c r="K169" i="44"/>
  <c r="P169" i="44" s="1"/>
  <c r="K112" i="44"/>
  <c r="P112" i="44" s="1"/>
  <c r="U112" i="44"/>
  <c r="K79" i="44"/>
  <c r="P79" i="44" s="1"/>
  <c r="K127" i="44"/>
  <c r="P127" i="44" s="1"/>
  <c r="K173" i="44"/>
  <c r="P173" i="44" s="1"/>
  <c r="K171" i="44"/>
  <c r="P171" i="44" s="1"/>
  <c r="K175" i="44"/>
  <c r="P175" i="44" s="1"/>
  <c r="K129" i="44"/>
  <c r="P129" i="44" s="1"/>
  <c r="P46" i="44"/>
  <c r="K49" i="44"/>
  <c r="K362" i="6"/>
  <c r="J344" i="6" s="1"/>
  <c r="Q344" i="6" s="1"/>
  <c r="T344" i="6" s="1"/>
  <c r="K181" i="44" l="1"/>
  <c r="P181" i="44" s="1"/>
  <c r="T1249" i="6" l="1"/>
  <c r="H1249" i="6"/>
  <c r="T1248" i="6" l="1"/>
  <c r="H1248" i="6"/>
  <c r="T1247" i="6" l="1"/>
  <c r="H1247" i="6"/>
  <c r="T1246" i="6"/>
  <c r="H1246" i="6"/>
  <c r="T1245" i="6" l="1"/>
  <c r="H1245" i="6"/>
  <c r="T1244" i="6" l="1"/>
  <c r="H1244" i="6"/>
  <c r="T1243" i="6" l="1"/>
  <c r="H1243" i="6"/>
  <c r="T1242" i="6"/>
  <c r="H1242" i="6"/>
  <c r="T1241" i="6" l="1"/>
  <c r="H1241" i="6"/>
  <c r="T1240" i="6" l="1"/>
  <c r="H1240" i="6"/>
  <c r="T1239" i="6" l="1"/>
  <c r="H1239" i="6"/>
  <c r="T1238" i="6"/>
  <c r="H1238" i="6"/>
  <c r="T1237" i="6" l="1"/>
  <c r="H1237" i="6"/>
  <c r="T1236" i="6" l="1"/>
  <c r="H1236" i="6"/>
  <c r="T1235" i="6" l="1"/>
  <c r="H1235" i="6"/>
  <c r="T1234" i="6"/>
  <c r="H1234" i="6"/>
  <c r="I1233" i="6" l="1"/>
  <c r="H1233" i="6"/>
  <c r="O1232" i="6" l="1"/>
  <c r="L1232" i="6"/>
  <c r="I1232" i="6"/>
  <c r="H1232" i="6"/>
  <c r="Q1232" i="6" s="1"/>
  <c r="J1232" i="6" l="1"/>
  <c r="K1232" i="6" s="1"/>
  <c r="M1232" i="6"/>
  <c r="T1231" i="6"/>
  <c r="H1231" i="6"/>
  <c r="T1230" i="6"/>
  <c r="H1230" i="6"/>
  <c r="T1229" i="6" l="1"/>
  <c r="H1229" i="6"/>
  <c r="C1228" i="6" l="1"/>
  <c r="T1227" i="6" l="1"/>
  <c r="C1227" i="6"/>
  <c r="T1226" i="6"/>
  <c r="C1226" i="6"/>
  <c r="H1226" i="6" l="1"/>
  <c r="H1227" i="6"/>
  <c r="T1225" i="6"/>
  <c r="T1224" i="6" l="1"/>
  <c r="H1224" i="6"/>
  <c r="T1232" i="6" l="1"/>
  <c r="T1223" i="6" l="1"/>
  <c r="H1223" i="6"/>
  <c r="T1222" i="6" l="1"/>
  <c r="H1222" i="6"/>
  <c r="T1221" i="6" l="1"/>
  <c r="H1221" i="6"/>
  <c r="T1220" i="6"/>
  <c r="H1220" i="6"/>
  <c r="T1219" i="6" l="1"/>
  <c r="H1219" i="6"/>
  <c r="T1218" i="6" l="1"/>
  <c r="H1218" i="6"/>
  <c r="T1217" i="6" l="1"/>
  <c r="H1217" i="6"/>
  <c r="T1216" i="6"/>
  <c r="H1216" i="6"/>
  <c r="T1215" i="6" l="1"/>
  <c r="T1214" i="6" l="1"/>
  <c r="H1214" i="6"/>
  <c r="T1213" i="6" l="1"/>
  <c r="H1213" i="6"/>
  <c r="T1212" i="6"/>
  <c r="H1212" i="6"/>
  <c r="T1211" i="6" l="1"/>
  <c r="H1211" i="6"/>
  <c r="T1210" i="6" l="1"/>
  <c r="H1210" i="6"/>
  <c r="T1209" i="6" l="1"/>
  <c r="T1208" i="6"/>
  <c r="O1207" i="6" l="1"/>
  <c r="L1207" i="6"/>
  <c r="I1207" i="6"/>
  <c r="H1207" i="6"/>
  <c r="J1207" i="6" s="1"/>
  <c r="Q1207" i="6" l="1"/>
  <c r="K1207" i="6"/>
  <c r="M1207" i="6"/>
  <c r="Q1206" i="6" l="1"/>
  <c r="O1206" i="6"/>
  <c r="O1220" i="6" s="1"/>
  <c r="L1206" i="6"/>
  <c r="J1206" i="6"/>
  <c r="I1206" i="6"/>
  <c r="H1206" i="6"/>
  <c r="K1206" i="6" l="1"/>
  <c r="K1220" i="6" s="1"/>
  <c r="M1206" i="6"/>
  <c r="M1220" i="6" s="1"/>
  <c r="T1205" i="6"/>
  <c r="H1205" i="6"/>
  <c r="T1204" i="6"/>
  <c r="H1204" i="6"/>
  <c r="T1203" i="6" l="1"/>
  <c r="H1203" i="6"/>
  <c r="C1202" i="6" l="1"/>
  <c r="T1201" i="6" l="1"/>
  <c r="C1201" i="6"/>
  <c r="T1200" i="6"/>
  <c r="C1200" i="6"/>
  <c r="H1200" i="6" l="1"/>
  <c r="H1201" i="6"/>
  <c r="T1199" i="6"/>
  <c r="T1198" i="6" l="1"/>
  <c r="H1198" i="6"/>
  <c r="T1206" i="6" l="1"/>
  <c r="T1207" i="6" l="1"/>
  <c r="T1197" i="6" l="1"/>
  <c r="H1197" i="6"/>
  <c r="T1196" i="6" l="1"/>
  <c r="H1196" i="6"/>
  <c r="T1195" i="6" l="1"/>
  <c r="H1195" i="6"/>
  <c r="T1194" i="6"/>
  <c r="H1194" i="6"/>
  <c r="T1193" i="6" l="1"/>
  <c r="H1193" i="6"/>
  <c r="T1192" i="6" l="1"/>
  <c r="H1192" i="6"/>
  <c r="T1191" i="6" l="1"/>
  <c r="H1191" i="6"/>
  <c r="Q1190" i="6"/>
  <c r="O1190" i="6"/>
  <c r="L1190" i="6"/>
  <c r="J1190" i="6"/>
  <c r="I1190" i="6"/>
  <c r="H1190" i="6"/>
  <c r="G1190" i="6"/>
  <c r="K1190" i="6" l="1"/>
  <c r="M1190" i="6"/>
  <c r="Q1189" i="6"/>
  <c r="O1189" i="6"/>
  <c r="L1189" i="6"/>
  <c r="J1189" i="6"/>
  <c r="I1189" i="6"/>
  <c r="H1189" i="6"/>
  <c r="G1189" i="6"/>
  <c r="K1189" i="6" l="1"/>
  <c r="M1189" i="6"/>
  <c r="O1188" i="6" l="1"/>
  <c r="L1188" i="6"/>
  <c r="I1188" i="6"/>
  <c r="H1188" i="6"/>
  <c r="Q1188" i="6" s="1"/>
  <c r="G1188" i="6"/>
  <c r="J1188" i="6" l="1"/>
  <c r="K1188" i="6" s="1"/>
  <c r="M1188" i="6"/>
  <c r="O1187" i="6"/>
  <c r="L1187" i="6"/>
  <c r="I1187" i="6"/>
  <c r="H1187" i="6"/>
  <c r="J1187" i="6" s="1"/>
  <c r="G1187" i="6"/>
  <c r="I1186" i="6"/>
  <c r="H1186" i="6"/>
  <c r="Q1187" i="6" l="1"/>
  <c r="M1187" i="6"/>
  <c r="K1187" i="6"/>
  <c r="T1185" i="6"/>
  <c r="O1185" i="6"/>
  <c r="L1185" i="6"/>
  <c r="I1185" i="6"/>
  <c r="H1185" i="6"/>
  <c r="M1185" i="6" l="1"/>
  <c r="T1184" i="6" l="1"/>
  <c r="I1184" i="6"/>
  <c r="H1184" i="6"/>
  <c r="Q1183" i="6" l="1"/>
  <c r="O1183" i="6"/>
  <c r="L1183" i="6"/>
  <c r="J1183" i="6"/>
  <c r="I1183" i="6"/>
  <c r="H1183" i="6"/>
  <c r="G1183" i="6"/>
  <c r="Q1182" i="6"/>
  <c r="O1182" i="6"/>
  <c r="L1182" i="6"/>
  <c r="J1182" i="6"/>
  <c r="I1182" i="6"/>
  <c r="H1182" i="6"/>
  <c r="G1182" i="6"/>
  <c r="K1182" i="6" l="1"/>
  <c r="M1183" i="6"/>
  <c r="M1182" i="6"/>
  <c r="K1183" i="6"/>
  <c r="O1181" i="6"/>
  <c r="L1181" i="6"/>
  <c r="I1181" i="6"/>
  <c r="H1181" i="6"/>
  <c r="Q1181" i="6" s="1"/>
  <c r="J1181" i="6" l="1"/>
  <c r="K1181" i="6" s="1"/>
  <c r="M1181" i="6"/>
  <c r="O1180" i="6" l="1"/>
  <c r="L1180" i="6"/>
  <c r="I1180" i="6"/>
  <c r="H1180" i="6"/>
  <c r="Q1180" i="6" s="1"/>
  <c r="M1180" i="6" l="1"/>
  <c r="T1179" i="6"/>
  <c r="H1179" i="6"/>
  <c r="T1178" i="6"/>
  <c r="H1178" i="6"/>
  <c r="T1177" i="6" l="1"/>
  <c r="H1177" i="6"/>
  <c r="C1176" i="6" l="1"/>
  <c r="T1175" i="6" l="1"/>
  <c r="C1175" i="6"/>
  <c r="T1174" i="6"/>
  <c r="C1174" i="6"/>
  <c r="H1174" i="6" l="1"/>
  <c r="H1175" i="6"/>
  <c r="T1173" i="6"/>
  <c r="D1173" i="6"/>
  <c r="T1172" i="6" l="1"/>
  <c r="H1172" i="6"/>
  <c r="T1171" i="6" l="1"/>
  <c r="H1171" i="6"/>
  <c r="T1170" i="6"/>
  <c r="H1170" i="6"/>
  <c r="T1169" i="6" l="1"/>
  <c r="H1169" i="6"/>
  <c r="T1168" i="6" l="1"/>
  <c r="H1168" i="6"/>
  <c r="T1167" i="6" l="1"/>
  <c r="H1167" i="6"/>
  <c r="T1166" i="6"/>
  <c r="H1166" i="6"/>
  <c r="T1165" i="6" l="1"/>
  <c r="H1165" i="6"/>
  <c r="Q1164" i="6" l="1"/>
  <c r="O1164" i="6"/>
  <c r="L1164" i="6"/>
  <c r="J1164" i="6"/>
  <c r="I1164" i="6"/>
  <c r="H1164" i="6"/>
  <c r="G1164" i="6"/>
  <c r="K1164" i="6" l="1"/>
  <c r="M1164" i="6"/>
  <c r="T1180" i="6"/>
  <c r="Q1163" i="6"/>
  <c r="O1163" i="6"/>
  <c r="L1163" i="6"/>
  <c r="J1163" i="6"/>
  <c r="I1163" i="6"/>
  <c r="H1163" i="6"/>
  <c r="G1163" i="6"/>
  <c r="O1162" i="6"/>
  <c r="L1162" i="6"/>
  <c r="I1162" i="6"/>
  <c r="H1162" i="6"/>
  <c r="J1162" i="6" s="1"/>
  <c r="G1162" i="6"/>
  <c r="Q1162" i="6" l="1"/>
  <c r="K1162" i="6"/>
  <c r="M1162" i="6"/>
  <c r="K1163" i="6"/>
  <c r="T1181" i="6"/>
  <c r="M1163" i="6"/>
  <c r="O1161" i="6"/>
  <c r="L1161" i="6"/>
  <c r="J1161" i="6"/>
  <c r="I1161" i="6"/>
  <c r="H1161" i="6"/>
  <c r="Q1161" i="6" s="1"/>
  <c r="G1161" i="6"/>
  <c r="M1161" i="6" l="1"/>
  <c r="K1161" i="6"/>
  <c r="T1182" i="6"/>
  <c r="T1183" i="6" l="1"/>
  <c r="I1160" i="6"/>
  <c r="H1160" i="6"/>
  <c r="T1159" i="6" l="1"/>
  <c r="O1159" i="6"/>
  <c r="L1159" i="6"/>
  <c r="I1159" i="6"/>
  <c r="H1159" i="6"/>
  <c r="T1158" i="6"/>
  <c r="I1158" i="6"/>
  <c r="H1158" i="6"/>
  <c r="M1159" i="6" l="1"/>
  <c r="Q1157" i="6"/>
  <c r="O1157" i="6"/>
  <c r="L1157" i="6"/>
  <c r="J1157" i="6"/>
  <c r="I1157" i="6"/>
  <c r="H1157" i="6"/>
  <c r="G1157" i="6"/>
  <c r="M1157" i="6" l="1"/>
  <c r="K1157" i="6"/>
  <c r="T1187" i="6" l="1"/>
  <c r="Q1156" i="6"/>
  <c r="O1156" i="6"/>
  <c r="L1156" i="6"/>
  <c r="J1156" i="6"/>
  <c r="I1156" i="6"/>
  <c r="H1156" i="6"/>
  <c r="G1156" i="6"/>
  <c r="K1156" i="6" l="1"/>
  <c r="M1156" i="6"/>
  <c r="T1188" i="6"/>
  <c r="O1155" i="6"/>
  <c r="L1155" i="6"/>
  <c r="I1155" i="6"/>
  <c r="H1155" i="6"/>
  <c r="Q1155" i="6" s="1"/>
  <c r="O1154" i="6"/>
  <c r="L1154" i="6"/>
  <c r="I1154" i="6"/>
  <c r="H1154" i="6"/>
  <c r="Q1154" i="6" s="1"/>
  <c r="J1154" i="6" l="1"/>
  <c r="K1154" i="6" s="1"/>
  <c r="J1155" i="6"/>
  <c r="K1155" i="6" s="1"/>
  <c r="T1189" i="6"/>
  <c r="M1154" i="6"/>
  <c r="M1155" i="6"/>
  <c r="T1153" i="6"/>
  <c r="H1153" i="6"/>
  <c r="T1190" i="6" l="1"/>
  <c r="T1152" i="6" l="1"/>
  <c r="H1152" i="6"/>
  <c r="T1151" i="6" l="1"/>
  <c r="H1151" i="6"/>
  <c r="C1150" i="6"/>
  <c r="T1149" i="6" l="1"/>
  <c r="C1149" i="6"/>
  <c r="H1149" i="6" l="1"/>
  <c r="T1148" i="6" l="1"/>
  <c r="C1148" i="6"/>
  <c r="H1148" i="6" l="1"/>
  <c r="T1147" i="6"/>
  <c r="D1147" i="6"/>
  <c r="T1146" i="6" l="1"/>
  <c r="H1146" i="6"/>
  <c r="T1154" i="6" l="1"/>
  <c r="T1155" i="6" l="1"/>
  <c r="T1156" i="6" l="1"/>
  <c r="T1157" i="6" l="1"/>
  <c r="T1161" i="6" l="1"/>
  <c r="T1162" i="6" l="1"/>
  <c r="T1163" i="6" l="1"/>
  <c r="T1164" i="6" l="1"/>
  <c r="T1145" i="6" l="1"/>
  <c r="H1145" i="6"/>
  <c r="T1144" i="6" l="1"/>
  <c r="H1144" i="6"/>
  <c r="T1143" i="6" l="1"/>
  <c r="H1143" i="6"/>
  <c r="T1142" i="6"/>
  <c r="H1142" i="6"/>
  <c r="T1141" i="6" l="1"/>
  <c r="H1141" i="6"/>
  <c r="T1140" i="6" l="1"/>
  <c r="H1140" i="6"/>
  <c r="T1139" i="6" l="1"/>
  <c r="H1139" i="6"/>
  <c r="I1138" i="6"/>
  <c r="H1138" i="6"/>
  <c r="T1137" i="6" l="1"/>
  <c r="I1137" i="6"/>
  <c r="H1137" i="6"/>
  <c r="Q1136" i="6" l="1"/>
  <c r="O1136" i="6"/>
  <c r="L1136" i="6"/>
  <c r="J1136" i="6"/>
  <c r="I1136" i="6"/>
  <c r="H1136" i="6"/>
  <c r="K1136" i="6" l="1"/>
  <c r="M1136" i="6"/>
  <c r="O1135" i="6"/>
  <c r="L1135" i="6"/>
  <c r="I1135" i="6"/>
  <c r="H1135" i="6"/>
  <c r="Q1135" i="6" s="1"/>
  <c r="O1134" i="6"/>
  <c r="L1134" i="6"/>
  <c r="I1134" i="6"/>
  <c r="H1134" i="6"/>
  <c r="Q1134" i="6" s="1"/>
  <c r="J1134" i="6" l="1"/>
  <c r="K1134" i="6" s="1"/>
  <c r="J1135" i="6"/>
  <c r="K1135" i="6" s="1"/>
  <c r="M1134" i="6"/>
  <c r="M1135" i="6"/>
  <c r="O1133" i="6"/>
  <c r="L1133" i="6"/>
  <c r="I1133" i="6"/>
  <c r="H1133" i="6"/>
  <c r="Q1133" i="6" s="1"/>
  <c r="J1133" i="6" l="1"/>
  <c r="K1133" i="6" s="1"/>
  <c r="M1133" i="6"/>
  <c r="O1132" i="6" l="1"/>
  <c r="L1132" i="6"/>
  <c r="I1132" i="6"/>
  <c r="H1132" i="6"/>
  <c r="J1132" i="6" s="1"/>
  <c r="M1132" i="6" l="1"/>
  <c r="Q1132" i="6"/>
  <c r="K1132" i="6"/>
  <c r="O1131" i="6"/>
  <c r="L1131" i="6"/>
  <c r="I1131" i="6"/>
  <c r="H1131" i="6"/>
  <c r="Q1131" i="6" s="1"/>
  <c r="O1130" i="6"/>
  <c r="L1130" i="6"/>
  <c r="J1130" i="6"/>
  <c r="I1130" i="6"/>
  <c r="H1130" i="6"/>
  <c r="Q1130" i="6" s="1"/>
  <c r="M1130" i="6" l="1"/>
  <c r="K1130" i="6"/>
  <c r="M1131" i="6"/>
  <c r="O1129" i="6"/>
  <c r="L1129" i="6"/>
  <c r="I1129" i="6"/>
  <c r="H1129" i="6"/>
  <c r="J1129" i="6" s="1"/>
  <c r="Q1129" i="6" l="1"/>
  <c r="M1129" i="6"/>
  <c r="K1129" i="6"/>
  <c r="O1128" i="6" l="1"/>
  <c r="L1128" i="6"/>
  <c r="I1128" i="6"/>
  <c r="H1128" i="6"/>
  <c r="Q1128" i="6" s="1"/>
  <c r="M1128" i="6" l="1"/>
  <c r="T1127" i="6"/>
  <c r="H1127" i="6"/>
  <c r="T1126" i="6"/>
  <c r="H1126" i="6"/>
  <c r="T1125" i="6" l="1"/>
  <c r="H1125" i="6"/>
  <c r="C1124" i="6" l="1"/>
  <c r="T1123" i="6" l="1"/>
  <c r="C1123" i="6"/>
  <c r="T1122" i="6"/>
  <c r="C1122" i="6"/>
  <c r="H1122" i="6" l="1"/>
  <c r="H1123" i="6"/>
  <c r="T1121" i="6"/>
  <c r="T1120" i="6" l="1"/>
  <c r="H1120" i="6"/>
  <c r="T1119" i="6" l="1"/>
  <c r="H1119" i="6"/>
  <c r="T1118" i="6"/>
  <c r="H1118" i="6"/>
  <c r="T1117" i="6" l="1"/>
  <c r="H1117" i="6"/>
  <c r="T1116" i="6" l="1"/>
  <c r="H1116" i="6"/>
  <c r="T1115" i="6" l="1"/>
  <c r="H1115" i="6"/>
  <c r="T1114" i="6"/>
  <c r="H1114" i="6"/>
  <c r="T1113" i="6" l="1"/>
  <c r="H1113" i="6"/>
  <c r="T1112" i="6" l="1"/>
  <c r="H1112" i="6"/>
  <c r="T1128" i="6" l="1"/>
  <c r="I1111" i="6"/>
  <c r="H1111" i="6"/>
  <c r="T1110" i="6"/>
  <c r="I1110" i="6"/>
  <c r="H1110" i="6"/>
  <c r="T1129" i="6" l="1"/>
  <c r="Q1109" i="6"/>
  <c r="O1109" i="6"/>
  <c r="L1109" i="6"/>
  <c r="J1109" i="6"/>
  <c r="I1109" i="6"/>
  <c r="H1109" i="6"/>
  <c r="K1109" i="6" l="1"/>
  <c r="T1130" i="6"/>
  <c r="M1109" i="6"/>
  <c r="T1131" i="6" l="1"/>
  <c r="O1108" i="6"/>
  <c r="L1108" i="6"/>
  <c r="I1108" i="6"/>
  <c r="H1108" i="6"/>
  <c r="Q1108" i="6" s="1"/>
  <c r="J1108" i="6" l="1"/>
  <c r="K1108" i="6" s="1"/>
  <c r="M1108" i="6"/>
  <c r="T1132" i="6"/>
  <c r="O1107" i="6"/>
  <c r="L1107" i="6"/>
  <c r="I1107" i="6"/>
  <c r="H1107" i="6"/>
  <c r="Q1107" i="6" s="1"/>
  <c r="O1106" i="6"/>
  <c r="L1106" i="6"/>
  <c r="I1106" i="6"/>
  <c r="H1106" i="6"/>
  <c r="J1106" i="6" s="1"/>
  <c r="J1107" i="6" l="1"/>
  <c r="K1107" i="6" s="1"/>
  <c r="Q1106" i="6"/>
  <c r="K1106" i="6"/>
  <c r="T1133" i="6"/>
  <c r="M1106" i="6"/>
  <c r="M1107" i="6"/>
  <c r="O1105" i="6"/>
  <c r="L1105" i="6"/>
  <c r="I1105" i="6"/>
  <c r="H1105" i="6"/>
  <c r="Q1105" i="6" s="1"/>
  <c r="J1105" i="6" l="1"/>
  <c r="K1105" i="6" s="1"/>
  <c r="T1134" i="6"/>
  <c r="M1105" i="6"/>
  <c r="T1135" i="6" l="1"/>
  <c r="O1104" i="6"/>
  <c r="L1104" i="6"/>
  <c r="I1104" i="6"/>
  <c r="H1104" i="6"/>
  <c r="Q1104" i="6" s="1"/>
  <c r="J1104" i="6" l="1"/>
  <c r="K1104" i="6" s="1"/>
  <c r="M1104" i="6"/>
  <c r="T1136" i="6"/>
  <c r="O1103" i="6"/>
  <c r="L1103" i="6"/>
  <c r="I1103" i="6"/>
  <c r="H1103" i="6"/>
  <c r="J1103" i="6" s="1"/>
  <c r="O1102" i="6"/>
  <c r="L1102" i="6"/>
  <c r="I1102" i="6"/>
  <c r="H1102" i="6"/>
  <c r="Q1102" i="6" s="1"/>
  <c r="Q1103" i="6" l="1"/>
  <c r="J1102" i="6"/>
  <c r="K1102" i="6" s="1"/>
  <c r="K1103" i="6"/>
  <c r="M1102" i="6"/>
  <c r="M1103" i="6"/>
  <c r="T1101" i="6"/>
  <c r="H1101" i="6"/>
  <c r="J1110" i="6" l="1"/>
  <c r="K1110" i="6" s="1"/>
  <c r="T1100" i="6"/>
  <c r="H1100" i="6"/>
  <c r="T1099" i="6" l="1"/>
  <c r="H1099" i="6"/>
  <c r="C1098" i="6"/>
  <c r="T1097" i="6" l="1"/>
  <c r="C1097" i="6"/>
  <c r="H1097" i="6" l="1"/>
  <c r="T1096" i="6" l="1"/>
  <c r="C1096" i="6"/>
  <c r="H1096" i="6" l="1"/>
  <c r="T1095" i="6"/>
  <c r="T1094" i="6"/>
  <c r="H1094" i="6"/>
  <c r="T1093" i="6" l="1"/>
  <c r="H1093" i="6"/>
  <c r="T1092" i="6" l="1"/>
  <c r="H1092" i="6"/>
  <c r="T1091" i="6" l="1"/>
  <c r="H1091" i="6"/>
  <c r="T1090" i="6"/>
  <c r="H1090" i="6"/>
  <c r="T1089" i="6" l="1"/>
  <c r="H1089" i="6"/>
  <c r="T1088" i="6" l="1"/>
  <c r="H1088" i="6"/>
  <c r="T1087" i="6" l="1"/>
  <c r="H1087" i="6"/>
  <c r="I1086" i="6"/>
  <c r="H1086" i="6"/>
  <c r="T1102" i="6" l="1"/>
  <c r="T1085" i="6"/>
  <c r="I1085" i="6"/>
  <c r="H1085" i="6"/>
  <c r="T1103" i="6" l="1"/>
  <c r="T1104" i="6" l="1"/>
  <c r="Q1084" i="6"/>
  <c r="O1084" i="6"/>
  <c r="L1084" i="6"/>
  <c r="J1084" i="6"/>
  <c r="I1084" i="6"/>
  <c r="H1084" i="6"/>
  <c r="K1084" i="6" l="1"/>
  <c r="M1084" i="6"/>
  <c r="T1105" i="6"/>
  <c r="O1083" i="6"/>
  <c r="L1083" i="6"/>
  <c r="I1083" i="6"/>
  <c r="H1083" i="6"/>
  <c r="Q1083" i="6" s="1"/>
  <c r="O1082" i="6"/>
  <c r="L1082" i="6"/>
  <c r="I1082" i="6"/>
  <c r="H1082" i="6"/>
  <c r="Q1082" i="6" s="1"/>
  <c r="J1082" i="6" l="1"/>
  <c r="K1082" i="6" s="1"/>
  <c r="J1083" i="6"/>
  <c r="K1083" i="6" s="1"/>
  <c r="T1106" i="6"/>
  <c r="M1082" i="6"/>
  <c r="M1083" i="6"/>
  <c r="O1081" i="6"/>
  <c r="L1081" i="6"/>
  <c r="I1081" i="6"/>
  <c r="H1081" i="6"/>
  <c r="J1081" i="6" s="1"/>
  <c r="M1081" i="6" l="1"/>
  <c r="Q1081" i="6"/>
  <c r="K1081" i="6"/>
  <c r="T1107" i="6"/>
  <c r="T1108" i="6" l="1"/>
  <c r="O1080" i="6"/>
  <c r="L1080" i="6"/>
  <c r="I1080" i="6"/>
  <c r="H1080" i="6"/>
  <c r="Q1080" i="6" s="1"/>
  <c r="J1080" i="6" l="1"/>
  <c r="K1080" i="6" s="1"/>
  <c r="M1080" i="6"/>
  <c r="T1109" i="6"/>
  <c r="O1079" i="6"/>
  <c r="L1079" i="6"/>
  <c r="I1079" i="6"/>
  <c r="H1079" i="6"/>
  <c r="J1079" i="6" s="1"/>
  <c r="O1078" i="6"/>
  <c r="L1078" i="6"/>
  <c r="I1078" i="6"/>
  <c r="H1078" i="6"/>
  <c r="Q1078" i="6" s="1"/>
  <c r="Q1079" i="6" l="1"/>
  <c r="J1078" i="6"/>
  <c r="K1078" i="6" s="1"/>
  <c r="K1079" i="6"/>
  <c r="M1078" i="6"/>
  <c r="M1079" i="6"/>
  <c r="O1077" i="6"/>
  <c r="L1077" i="6"/>
  <c r="I1077" i="6"/>
  <c r="H1077" i="6"/>
  <c r="Q1077" i="6" s="1"/>
  <c r="J1077" i="6" l="1"/>
  <c r="K1077" i="6" s="1"/>
  <c r="M1077" i="6"/>
  <c r="O1076" i="6" l="1"/>
  <c r="L1076" i="6"/>
  <c r="I1076" i="6"/>
  <c r="H1076" i="6"/>
  <c r="Q1076" i="6" s="1"/>
  <c r="M1076" i="6" l="1"/>
  <c r="T1075" i="6"/>
  <c r="H1075" i="6"/>
  <c r="T1074" i="6"/>
  <c r="H1074" i="6"/>
  <c r="T1073" i="6" l="1"/>
  <c r="H1073" i="6"/>
  <c r="C1072" i="6" l="1"/>
  <c r="T1071" i="6" l="1"/>
  <c r="C1071" i="6"/>
  <c r="T1070" i="6"/>
  <c r="C1070" i="6"/>
  <c r="H1070" i="6" l="1"/>
  <c r="H1071" i="6"/>
  <c r="T1069" i="6"/>
  <c r="T1068" i="6" l="1"/>
  <c r="H1068" i="6"/>
  <c r="T1067" i="6" l="1"/>
  <c r="H1067" i="6"/>
  <c r="T1066" i="6"/>
  <c r="H1066" i="6"/>
  <c r="T1065" i="6" l="1"/>
  <c r="H1065" i="6"/>
  <c r="T1064" i="6" l="1"/>
  <c r="H1064" i="6"/>
  <c r="T1063" i="6" l="1"/>
  <c r="H1063" i="6"/>
  <c r="T1062" i="6"/>
  <c r="H1062" i="6"/>
  <c r="T1061" i="6" l="1"/>
  <c r="H1061" i="6"/>
  <c r="T1076" i="6" l="1"/>
  <c r="T1060" i="6"/>
  <c r="H1060" i="6"/>
  <c r="T1077" i="6" l="1"/>
  <c r="T1059" i="6"/>
  <c r="H1059" i="6"/>
  <c r="T1058" i="6"/>
  <c r="H1058" i="6"/>
  <c r="T1078" i="6" l="1"/>
  <c r="T1057" i="6"/>
  <c r="H1057" i="6"/>
  <c r="T1079" i="6" l="1"/>
  <c r="T1080" i="6" l="1"/>
  <c r="T1056" i="6"/>
  <c r="H1056" i="6"/>
  <c r="T1081" i="6" l="1"/>
  <c r="T1054" i="6"/>
  <c r="O1054" i="6"/>
  <c r="I1054" i="6"/>
  <c r="H1054" i="6"/>
  <c r="T1082" i="6" l="1"/>
  <c r="Q1053" i="6"/>
  <c r="O1053" i="6"/>
  <c r="L1053" i="6"/>
  <c r="J1053" i="6"/>
  <c r="I1053" i="6"/>
  <c r="H1053" i="6"/>
  <c r="G1053" i="6"/>
  <c r="K1053" i="6" l="1"/>
  <c r="T1083" i="6"/>
  <c r="M1053" i="6"/>
  <c r="T1084" i="6" l="1"/>
  <c r="Q1052" i="6"/>
  <c r="O1052" i="6"/>
  <c r="L1052" i="6"/>
  <c r="J1052" i="6"/>
  <c r="I1052" i="6"/>
  <c r="H1052" i="6"/>
  <c r="G1052" i="6"/>
  <c r="K1052" i="6" l="1"/>
  <c r="M1052" i="6"/>
  <c r="O1051" i="6"/>
  <c r="L1051" i="6"/>
  <c r="I1051" i="6"/>
  <c r="H1051" i="6"/>
  <c r="Q1051" i="6" s="1"/>
  <c r="O1050" i="6"/>
  <c r="O1064" i="6" s="1"/>
  <c r="L1050" i="6"/>
  <c r="I1050" i="6"/>
  <c r="H1050" i="6"/>
  <c r="Q1050" i="6" s="1"/>
  <c r="J1051" i="6" l="1"/>
  <c r="K1051" i="6" s="1"/>
  <c r="M1051" i="6"/>
  <c r="M1050" i="6"/>
  <c r="T1049" i="6"/>
  <c r="H1049" i="6"/>
  <c r="M1064" i="6" l="1"/>
  <c r="T1048" i="6"/>
  <c r="H1048" i="6"/>
  <c r="T1047" i="6" l="1"/>
  <c r="H1047" i="6"/>
  <c r="C1046" i="6" l="1"/>
  <c r="T1045" i="6" l="1"/>
  <c r="C1045" i="6"/>
  <c r="H1045" i="6" l="1"/>
  <c r="T1044" i="6" l="1"/>
  <c r="C1044" i="6"/>
  <c r="H1044" i="6" l="1"/>
  <c r="T1043" i="6"/>
  <c r="T1042" i="6"/>
  <c r="H1042" i="6"/>
  <c r="T1041" i="6" l="1"/>
  <c r="H1041" i="6"/>
  <c r="T1040" i="6" l="1"/>
  <c r="H1040" i="6"/>
  <c r="T1039" i="6" l="1"/>
  <c r="H1039" i="6"/>
  <c r="T1038" i="6"/>
  <c r="H1038" i="6"/>
  <c r="T1037" i="6" l="1"/>
  <c r="H1037" i="6"/>
  <c r="T1036" i="6" l="1"/>
  <c r="H1036" i="6"/>
  <c r="T1035" i="6" l="1"/>
  <c r="H1035" i="6"/>
  <c r="T1034" i="6"/>
  <c r="H1034" i="6"/>
  <c r="T1050" i="6" l="1"/>
  <c r="T1033" i="6"/>
  <c r="H1033" i="6"/>
  <c r="T1051" i="6" l="1"/>
  <c r="T1052" i="6" l="1"/>
  <c r="T1032" i="6"/>
  <c r="H1032" i="6"/>
  <c r="T1053" i="6" l="1"/>
  <c r="T1031" i="6"/>
  <c r="H1031" i="6"/>
  <c r="T1030" i="6"/>
  <c r="H1030" i="6"/>
  <c r="T1029" i="6" l="1"/>
  <c r="H1029" i="6"/>
  <c r="T1028" i="6" l="1"/>
  <c r="H1028" i="6"/>
  <c r="Q1027" i="6" l="1"/>
  <c r="O1027" i="6"/>
  <c r="L1027" i="6"/>
  <c r="J1027" i="6"/>
  <c r="I1027" i="6"/>
  <c r="H1027" i="6"/>
  <c r="O1026" i="6"/>
  <c r="L1026" i="6"/>
  <c r="I1026" i="6"/>
  <c r="H1026" i="6"/>
  <c r="J1026" i="6" s="1"/>
  <c r="K1027" i="6" l="1"/>
  <c r="Q1026" i="6"/>
  <c r="M1026" i="6"/>
  <c r="M1027" i="6"/>
  <c r="K1026" i="6"/>
  <c r="O1025" i="6"/>
  <c r="L1025" i="6"/>
  <c r="I1025" i="6"/>
  <c r="H1025" i="6"/>
  <c r="Q1025" i="6" s="1"/>
  <c r="J1025" i="6" l="1"/>
  <c r="K1025" i="6" s="1"/>
  <c r="M1025" i="6"/>
  <c r="O1024" i="6" l="1"/>
  <c r="O1038" i="6" s="1"/>
  <c r="L1024" i="6"/>
  <c r="I1024" i="6"/>
  <c r="H1024" i="6"/>
  <c r="J1024" i="6" s="1"/>
  <c r="Q1024" i="6" l="1"/>
  <c r="M1024" i="6"/>
  <c r="M1038" i="6" s="1"/>
  <c r="K1024" i="6"/>
  <c r="K1038" i="6" s="1"/>
  <c r="T1023" i="6"/>
  <c r="H1023" i="6"/>
  <c r="T1022" i="6"/>
  <c r="H1022" i="6"/>
  <c r="T1021" i="6" l="1"/>
  <c r="H1021" i="6"/>
  <c r="C1020" i="6" l="1"/>
  <c r="T1019" i="6" l="1"/>
  <c r="C1019" i="6"/>
  <c r="T1018" i="6"/>
  <c r="C1018" i="6"/>
  <c r="H1019" i="6" l="1"/>
  <c r="H1018" i="6"/>
  <c r="T1017" i="6"/>
  <c r="T1016" i="6" l="1"/>
  <c r="H1016" i="6"/>
  <c r="T1015" i="6" l="1"/>
  <c r="H1015" i="6"/>
  <c r="T1014" i="6"/>
  <c r="H1014" i="6"/>
  <c r="T1013" i="6" l="1"/>
  <c r="H1013" i="6"/>
  <c r="T1012" i="6" l="1"/>
  <c r="H1012" i="6"/>
  <c r="T1011" i="6" l="1"/>
  <c r="H1011" i="6"/>
  <c r="T1010" i="6"/>
  <c r="H1010" i="6"/>
  <c r="T1009" i="6" l="1"/>
  <c r="H1009" i="6"/>
  <c r="T1024" i="6" l="1"/>
  <c r="T1008" i="6"/>
  <c r="H1008" i="6"/>
  <c r="T1025" i="6" l="1"/>
  <c r="T1007" i="6"/>
  <c r="H1007" i="6"/>
  <c r="T1006" i="6"/>
  <c r="H1006" i="6"/>
  <c r="T1026" i="6" l="1"/>
  <c r="T1005" i="6"/>
  <c r="H1005" i="6"/>
  <c r="T1027" i="6" l="1"/>
  <c r="T1004" i="6" l="1"/>
  <c r="H1004" i="6"/>
  <c r="T1003" i="6" l="1"/>
  <c r="I1003" i="6"/>
  <c r="H1003" i="6"/>
  <c r="Q1002" i="6"/>
  <c r="O1002" i="6"/>
  <c r="L1002" i="6"/>
  <c r="J1002" i="6"/>
  <c r="I1002" i="6"/>
  <c r="H1002" i="6"/>
  <c r="K1002" i="6" l="1"/>
  <c r="M1002" i="6"/>
  <c r="J1003" i="6" s="1"/>
  <c r="K1003" i="6" s="1"/>
  <c r="O1001" i="6"/>
  <c r="L1001" i="6"/>
  <c r="I1001" i="6"/>
  <c r="H1001" i="6"/>
  <c r="Q1001" i="6" s="1"/>
  <c r="J1001" i="6" l="1"/>
  <c r="K1001" i="6" s="1"/>
  <c r="M1001" i="6"/>
  <c r="O1000" i="6" l="1"/>
  <c r="L1000" i="6"/>
  <c r="I1000" i="6"/>
  <c r="H1000" i="6"/>
  <c r="Q1000" i="6" s="1"/>
  <c r="M1000" i="6" l="1"/>
  <c r="O999" i="6"/>
  <c r="L999" i="6"/>
  <c r="I999" i="6"/>
  <c r="H999" i="6"/>
  <c r="Q999" i="6" s="1"/>
  <c r="O998" i="6"/>
  <c r="O1012" i="6" s="1"/>
  <c r="L998" i="6"/>
  <c r="I998" i="6"/>
  <c r="H998" i="6"/>
  <c r="Q998" i="6" s="1"/>
  <c r="J999" i="6" l="1"/>
  <c r="K999" i="6" s="1"/>
  <c r="J998" i="6"/>
  <c r="K998" i="6" s="1"/>
  <c r="M998" i="6"/>
  <c r="M999" i="6"/>
  <c r="T997" i="6"/>
  <c r="H997" i="6"/>
  <c r="M1012" i="6" l="1"/>
  <c r="T996" i="6"/>
  <c r="H996" i="6"/>
  <c r="T995" i="6" l="1"/>
  <c r="H995" i="6"/>
  <c r="C994" i="6"/>
  <c r="T993" i="6" l="1"/>
  <c r="C993" i="6"/>
  <c r="H993" i="6" l="1"/>
  <c r="T992" i="6" l="1"/>
  <c r="C992" i="6"/>
  <c r="H992" i="6" l="1"/>
  <c r="T991" i="6"/>
  <c r="T990" i="6"/>
  <c r="H990" i="6"/>
  <c r="T989" i="6" l="1"/>
  <c r="H989" i="6"/>
  <c r="T988" i="6" l="1"/>
  <c r="H988" i="6"/>
  <c r="T987" i="6" l="1"/>
  <c r="H987" i="6"/>
  <c r="T986" i="6"/>
  <c r="H986" i="6"/>
  <c r="T985" i="6" l="1"/>
  <c r="H985" i="6"/>
  <c r="T984" i="6" l="1"/>
  <c r="H984" i="6"/>
  <c r="T983" i="6" l="1"/>
  <c r="H983" i="6"/>
  <c r="T982" i="6"/>
  <c r="H982" i="6"/>
  <c r="T998" i="6" l="1"/>
  <c r="T981" i="6"/>
  <c r="H981" i="6"/>
  <c r="T999" i="6" l="1"/>
  <c r="T1000" i="6" l="1"/>
  <c r="T980" i="6"/>
  <c r="H980" i="6"/>
  <c r="T1001" i="6" l="1"/>
  <c r="T979" i="6"/>
  <c r="H979" i="6"/>
  <c r="T978" i="6"/>
  <c r="I978" i="6"/>
  <c r="H978" i="6"/>
  <c r="T1002" i="6" l="1"/>
  <c r="Q977" i="6"/>
  <c r="O977" i="6"/>
  <c r="L977" i="6"/>
  <c r="J977" i="6"/>
  <c r="I977" i="6"/>
  <c r="H977" i="6"/>
  <c r="G977" i="6"/>
  <c r="K977" i="6" l="1"/>
  <c r="M977" i="6"/>
  <c r="Q976" i="6" l="1"/>
  <c r="O976" i="6"/>
  <c r="L976" i="6"/>
  <c r="J976" i="6"/>
  <c r="I976" i="6"/>
  <c r="H976" i="6"/>
  <c r="G976" i="6"/>
  <c r="K976" i="6" l="1"/>
  <c r="M976" i="6"/>
  <c r="J978" i="6" s="1"/>
  <c r="K978" i="6" s="1"/>
  <c r="O975" i="6"/>
  <c r="L975" i="6"/>
  <c r="I975" i="6"/>
  <c r="H975" i="6"/>
  <c r="Q975" i="6" s="1"/>
  <c r="G975" i="6"/>
  <c r="O974" i="6"/>
  <c r="L974" i="6"/>
  <c r="I974" i="6"/>
  <c r="H974" i="6"/>
  <c r="Q974" i="6" s="1"/>
  <c r="J974" i="6" l="1"/>
  <c r="K974" i="6" s="1"/>
  <c r="J975" i="6"/>
  <c r="K975" i="6" s="1"/>
  <c r="M975" i="6"/>
  <c r="M974" i="6"/>
  <c r="O973" i="6"/>
  <c r="L973" i="6"/>
  <c r="I973" i="6"/>
  <c r="H973" i="6"/>
  <c r="Q973" i="6" s="1"/>
  <c r="J973" i="6" l="1"/>
  <c r="K973" i="6" s="1"/>
  <c r="M973" i="6"/>
  <c r="O972" i="6" l="1"/>
  <c r="O986" i="6" s="1"/>
  <c r="L972" i="6"/>
  <c r="I972" i="6"/>
  <c r="H972" i="6"/>
  <c r="Q972" i="6" s="1"/>
  <c r="J972" i="6" l="1"/>
  <c r="K972" i="6" s="1"/>
  <c r="M972" i="6"/>
  <c r="M986" i="6" s="1"/>
  <c r="T971" i="6"/>
  <c r="H971" i="6"/>
  <c r="T970" i="6"/>
  <c r="H970" i="6"/>
  <c r="K986" i="6" l="1"/>
  <c r="T969" i="6"/>
  <c r="H969" i="6"/>
  <c r="C968" i="6" l="1"/>
  <c r="T967" i="6" l="1"/>
  <c r="C967" i="6"/>
  <c r="T966" i="6"/>
  <c r="C966" i="6"/>
  <c r="H966" i="6" l="1"/>
  <c r="H967" i="6"/>
  <c r="T965" i="6"/>
  <c r="T964" i="6" l="1"/>
  <c r="H964" i="6"/>
  <c r="T963" i="6" l="1"/>
  <c r="H963" i="6"/>
  <c r="T962" i="6"/>
  <c r="H962" i="6"/>
  <c r="T961" i="6" l="1"/>
  <c r="H961" i="6"/>
  <c r="T960" i="6" l="1"/>
  <c r="H960" i="6" l="1"/>
  <c r="T959" i="6" l="1"/>
  <c r="H959" i="6"/>
  <c r="T958" i="6"/>
  <c r="H958" i="6"/>
  <c r="T957" i="6" l="1"/>
  <c r="H957" i="6"/>
  <c r="T972" i="6" l="1"/>
  <c r="T956" i="6"/>
  <c r="H956" i="6"/>
  <c r="T973" i="6" l="1"/>
  <c r="T955" i="6"/>
  <c r="H955" i="6"/>
  <c r="T954" i="6"/>
  <c r="H954" i="6"/>
  <c r="T974" i="6" l="1"/>
  <c r="T953" i="6"/>
  <c r="H953" i="6"/>
  <c r="T975" i="6" l="1"/>
  <c r="T976" i="6" l="1"/>
  <c r="T952" i="6"/>
  <c r="I952" i="6"/>
  <c r="H952" i="6"/>
  <c r="T977" i="6" l="1"/>
  <c r="Q951" i="6"/>
  <c r="O951" i="6"/>
  <c r="L951" i="6"/>
  <c r="J951" i="6"/>
  <c r="I951" i="6"/>
  <c r="H951" i="6"/>
  <c r="G951" i="6"/>
  <c r="Q950" i="6"/>
  <c r="O950" i="6"/>
  <c r="L950" i="6"/>
  <c r="J950" i="6"/>
  <c r="I950" i="6"/>
  <c r="H950" i="6"/>
  <c r="G950" i="6"/>
  <c r="K950" i="6" l="1"/>
  <c r="K951" i="6"/>
  <c r="M950" i="6"/>
  <c r="M951" i="6"/>
  <c r="O949" i="6"/>
  <c r="L949" i="6"/>
  <c r="I949" i="6"/>
  <c r="H949" i="6"/>
  <c r="Q949" i="6" s="1"/>
  <c r="G949" i="6"/>
  <c r="J949" i="6" l="1"/>
  <c r="K949" i="6" s="1"/>
  <c r="M949" i="6"/>
  <c r="J952" i="6"/>
  <c r="K952" i="6" s="1"/>
  <c r="O948" i="6" l="1"/>
  <c r="L948" i="6"/>
  <c r="I948" i="6"/>
  <c r="H948" i="6"/>
  <c r="Q948" i="6" s="1"/>
  <c r="G948" i="6"/>
  <c r="J948" i="6" l="1"/>
  <c r="K948" i="6" s="1"/>
  <c r="M948" i="6"/>
  <c r="O947" i="6"/>
  <c r="L947" i="6"/>
  <c r="I947" i="6"/>
  <c r="H947" i="6"/>
  <c r="Q947" i="6" s="1"/>
  <c r="J947" i="6" l="1"/>
  <c r="K947" i="6" s="1"/>
  <c r="M947" i="6"/>
  <c r="O946" i="6"/>
  <c r="O960" i="6" s="1"/>
  <c r="L946" i="6"/>
  <c r="I946" i="6"/>
  <c r="H946" i="6"/>
  <c r="Q946" i="6" s="1"/>
  <c r="J946" i="6" l="1"/>
  <c r="K946" i="6" s="1"/>
  <c r="M946" i="6"/>
  <c r="M960" i="6" s="1"/>
  <c r="T945" i="6"/>
  <c r="H945" i="6"/>
  <c r="K960" i="6" l="1"/>
  <c r="T944" i="6"/>
  <c r="H944" i="6"/>
  <c r="T943" i="6" l="1"/>
  <c r="H943" i="6"/>
  <c r="C942" i="6"/>
  <c r="T941" i="6" l="1"/>
  <c r="C941" i="6"/>
  <c r="H941" i="6" l="1"/>
  <c r="T940" i="6" l="1"/>
  <c r="C940" i="6"/>
  <c r="H940" i="6" l="1"/>
  <c r="T939" i="6"/>
  <c r="T938" i="6"/>
  <c r="H938" i="6"/>
  <c r="T937" i="6" l="1"/>
  <c r="H937" i="6"/>
  <c r="T936" i="6" l="1"/>
  <c r="H936" i="6"/>
  <c r="T935" i="6" l="1"/>
  <c r="H935" i="6"/>
  <c r="T934" i="6"/>
  <c r="H934" i="6"/>
  <c r="T933" i="6" l="1"/>
  <c r="H933" i="6"/>
  <c r="T932" i="6" l="1"/>
  <c r="H932" i="6"/>
  <c r="T931" i="6" l="1"/>
  <c r="H931" i="6"/>
  <c r="T930" i="6"/>
  <c r="H930" i="6"/>
  <c r="T946" i="6" l="1"/>
  <c r="T929" i="6"/>
  <c r="H929" i="6"/>
  <c r="T947" i="6" l="1"/>
  <c r="T948" i="6" l="1"/>
  <c r="T928" i="6"/>
  <c r="H928" i="6"/>
  <c r="T949" i="6" l="1"/>
  <c r="T927" i="6"/>
  <c r="H927" i="6"/>
  <c r="T926" i="6"/>
  <c r="I926" i="6"/>
  <c r="H926" i="6"/>
  <c r="T950" i="6" l="1"/>
  <c r="Q925" i="6"/>
  <c r="O925" i="6"/>
  <c r="L925" i="6"/>
  <c r="J925" i="6"/>
  <c r="I925" i="6"/>
  <c r="H925" i="6"/>
  <c r="K925" i="6" l="1"/>
  <c r="T951" i="6"/>
  <c r="G925" i="6"/>
  <c r="M925" i="6" s="1"/>
  <c r="Q924" i="6" l="1"/>
  <c r="O924" i="6"/>
  <c r="L924" i="6"/>
  <c r="J924" i="6"/>
  <c r="I924" i="6"/>
  <c r="H924" i="6"/>
  <c r="G924" i="6"/>
  <c r="K924" i="6" l="1"/>
  <c r="M924" i="6"/>
  <c r="J926" i="6" s="1"/>
  <c r="K926" i="6" s="1"/>
  <c r="O923" i="6"/>
  <c r="L923" i="6"/>
  <c r="I923" i="6"/>
  <c r="H923" i="6"/>
  <c r="Q923" i="6" s="1"/>
  <c r="G923" i="6"/>
  <c r="O922" i="6"/>
  <c r="L922" i="6"/>
  <c r="I922" i="6"/>
  <c r="H922" i="6"/>
  <c r="Q922" i="6" s="1"/>
  <c r="G922" i="6"/>
  <c r="J922" i="6" l="1"/>
  <c r="K922" i="6" s="1"/>
  <c r="J923" i="6"/>
  <c r="K923" i="6" s="1"/>
  <c r="M923" i="6"/>
  <c r="M922" i="6"/>
  <c r="O921" i="6"/>
  <c r="L921" i="6"/>
  <c r="I921" i="6"/>
  <c r="H921" i="6"/>
  <c r="J921" i="6" s="1"/>
  <c r="Q921" i="6" l="1"/>
  <c r="M921" i="6"/>
  <c r="K921" i="6"/>
  <c r="O920" i="6" l="1"/>
  <c r="L920" i="6"/>
  <c r="I920" i="6"/>
  <c r="H920" i="6"/>
  <c r="Q920" i="6" s="1"/>
  <c r="J920" i="6" l="1"/>
  <c r="K920" i="6" s="1"/>
  <c r="K934" i="6" s="1"/>
  <c r="M920" i="6"/>
  <c r="M934" i="6" s="1"/>
  <c r="O934" i="6"/>
  <c r="T919" i="6"/>
  <c r="H919" i="6"/>
  <c r="T918" i="6"/>
  <c r="H918" i="6"/>
  <c r="T917" i="6" l="1"/>
  <c r="H917" i="6"/>
  <c r="C916" i="6" l="1"/>
  <c r="T915" i="6" l="1"/>
  <c r="C915" i="6"/>
  <c r="T914" i="6"/>
  <c r="C914" i="6"/>
  <c r="H914" i="6" l="1"/>
  <c r="H915" i="6"/>
  <c r="T913" i="6"/>
  <c r="T912" i="6" l="1"/>
  <c r="H912" i="6"/>
  <c r="T920" i="6" l="1"/>
  <c r="T921" i="6" l="1"/>
  <c r="T922" i="6" l="1"/>
  <c r="T923" i="6" l="1"/>
  <c r="T924" i="6" l="1"/>
  <c r="T925" i="6" l="1"/>
  <c r="T911" i="6" l="1"/>
  <c r="H911" i="6"/>
  <c r="T910" i="6" l="1"/>
  <c r="H910" i="6"/>
  <c r="T909" i="6" l="1"/>
  <c r="H909" i="6"/>
  <c r="T908" i="6"/>
  <c r="H908" i="6"/>
  <c r="T907" i="6" l="1"/>
  <c r="H907" i="6"/>
  <c r="T906" i="6" l="1"/>
  <c r="H906" i="6"/>
  <c r="T905" i="6" l="1"/>
  <c r="H905" i="6"/>
  <c r="T904" i="6"/>
  <c r="H904" i="6"/>
  <c r="T903" i="6" l="1"/>
  <c r="H903" i="6"/>
  <c r="T902" i="6" l="1"/>
  <c r="H902" i="6"/>
  <c r="T901" i="6" l="1"/>
  <c r="H901" i="6"/>
  <c r="T900" i="6"/>
  <c r="H900" i="6"/>
  <c r="T899" i="6" l="1"/>
  <c r="H899" i="6"/>
  <c r="T898" i="6" l="1"/>
  <c r="H898" i="6"/>
  <c r="T897" i="6" l="1"/>
  <c r="H897" i="6"/>
  <c r="T896" i="6"/>
  <c r="I895" i="6" l="1"/>
  <c r="H895" i="6"/>
  <c r="O894" i="6" l="1"/>
  <c r="L894" i="6"/>
  <c r="I894" i="6"/>
  <c r="H894" i="6"/>
  <c r="Q894" i="6" s="1"/>
  <c r="J894" i="6" l="1"/>
  <c r="K894" i="6" s="1"/>
  <c r="M894" i="6"/>
  <c r="T893" i="6"/>
  <c r="H893" i="6"/>
  <c r="T892" i="6"/>
  <c r="H892" i="6"/>
  <c r="T891" i="6" l="1"/>
  <c r="H891" i="6"/>
  <c r="C890" i="6" l="1"/>
  <c r="T889" i="6" l="1"/>
  <c r="C889" i="6"/>
  <c r="T888" i="6"/>
  <c r="C888" i="6"/>
  <c r="H888" i="6" l="1"/>
  <c r="H889" i="6"/>
  <c r="T887" i="6"/>
  <c r="T886" i="6" l="1"/>
  <c r="H886" i="6"/>
  <c r="T885" i="6" l="1"/>
  <c r="H885" i="6"/>
  <c r="T884" i="6"/>
  <c r="H884" i="6"/>
  <c r="T883" i="6" l="1"/>
  <c r="H883" i="6"/>
  <c r="T882" i="6" l="1"/>
  <c r="H882" i="6"/>
  <c r="T881" i="6" l="1"/>
  <c r="H881" i="6"/>
  <c r="T880" i="6"/>
  <c r="H880" i="6"/>
  <c r="T879" i="6" l="1"/>
  <c r="H879" i="6"/>
  <c r="T878" i="6" l="1"/>
  <c r="H878" i="6"/>
  <c r="T894" i="6" l="1"/>
  <c r="T877" i="6"/>
  <c r="H877" i="6"/>
  <c r="T876" i="6"/>
  <c r="H876" i="6"/>
  <c r="T875" i="6" l="1"/>
  <c r="H875" i="6"/>
  <c r="T874" i="6" l="1"/>
  <c r="H874" i="6"/>
  <c r="T873" i="6" l="1"/>
  <c r="H873" i="6"/>
  <c r="T872" i="6"/>
  <c r="H872" i="6"/>
  <c r="T871" i="6" l="1"/>
  <c r="H871" i="6"/>
  <c r="T870" i="6" l="1"/>
  <c r="I869" i="6" l="1"/>
  <c r="H869" i="6"/>
  <c r="O868" i="6"/>
  <c r="L868" i="6"/>
  <c r="I868" i="6"/>
  <c r="H868" i="6"/>
  <c r="Q868" i="6" s="1"/>
  <c r="J868" i="6" l="1"/>
  <c r="K868" i="6" s="1"/>
  <c r="M868" i="6"/>
  <c r="T867" i="6"/>
  <c r="H867" i="6"/>
  <c r="T866" i="6" l="1"/>
  <c r="H866" i="6"/>
  <c r="T865" i="6" l="1"/>
  <c r="H865" i="6"/>
  <c r="C864" i="6"/>
  <c r="T863" i="6" l="1"/>
  <c r="C863" i="6"/>
  <c r="H863" i="6" l="1"/>
  <c r="T862" i="6" l="1"/>
  <c r="C862" i="6"/>
  <c r="H862" i="6" l="1"/>
  <c r="T861" i="6"/>
  <c r="T860" i="6"/>
  <c r="H860" i="6"/>
  <c r="T868" i="6" l="1"/>
  <c r="T859" i="6" l="1"/>
  <c r="H859" i="6"/>
  <c r="T858" i="6" l="1"/>
  <c r="H858" i="6"/>
  <c r="T857" i="6"/>
  <c r="H857" i="6"/>
  <c r="T856" i="6" l="1"/>
  <c r="H856" i="6"/>
  <c r="T855" i="6" l="1"/>
  <c r="H855" i="6"/>
  <c r="T854" i="6" l="1"/>
  <c r="H854" i="6"/>
  <c r="T853" i="6"/>
  <c r="H853" i="6"/>
  <c r="T852" i="6" l="1"/>
  <c r="H852" i="6"/>
  <c r="T851" i="6" l="1"/>
  <c r="H851" i="6"/>
  <c r="T850" i="6" l="1"/>
  <c r="H850" i="6"/>
  <c r="T849" i="6"/>
  <c r="H849" i="6"/>
  <c r="T848" i="6" l="1"/>
  <c r="H848" i="6"/>
  <c r="T847" i="6" l="1"/>
  <c r="H847" i="6"/>
  <c r="I843" i="6" l="1"/>
  <c r="H843" i="6"/>
  <c r="L843" i="6" s="1"/>
  <c r="M843" i="6" s="1"/>
  <c r="Q843" i="6" l="1"/>
  <c r="T843" i="6" s="1"/>
  <c r="K843" i="6"/>
  <c r="O842" i="6"/>
  <c r="O856" i="6" s="1"/>
  <c r="L842" i="6"/>
  <c r="I842" i="6"/>
  <c r="H842" i="6"/>
  <c r="Q842" i="6" s="1"/>
  <c r="T841" i="6"/>
  <c r="H841" i="6"/>
  <c r="M842" i="6" l="1"/>
  <c r="M856" i="6" s="1"/>
  <c r="T840" i="6"/>
  <c r="H840" i="6"/>
  <c r="T839" i="6" l="1"/>
  <c r="H839" i="6"/>
  <c r="C838" i="6" l="1"/>
  <c r="T837" i="6"/>
  <c r="C837" i="6"/>
  <c r="H837" i="6" l="1"/>
  <c r="T836" i="6"/>
  <c r="C836" i="6"/>
  <c r="H836" i="6" l="1"/>
  <c r="T835" i="6" l="1"/>
  <c r="T834" i="6" l="1"/>
  <c r="H834" i="6"/>
  <c r="T833" i="6"/>
  <c r="H833" i="6"/>
  <c r="T832" i="6" l="1"/>
  <c r="H832" i="6"/>
  <c r="T831" i="6" l="1"/>
  <c r="H831" i="6"/>
  <c r="T830" i="6" l="1"/>
  <c r="H830" i="6"/>
  <c r="T829" i="6"/>
  <c r="H829" i="6"/>
  <c r="T828" i="6" l="1"/>
  <c r="H828" i="6"/>
  <c r="T827" i="6" l="1"/>
  <c r="H827" i="6"/>
  <c r="T842" i="6" l="1"/>
  <c r="T826" i="6"/>
  <c r="H826" i="6"/>
  <c r="T825" i="6"/>
  <c r="H825" i="6"/>
  <c r="T824" i="6" l="1"/>
  <c r="H824" i="6"/>
  <c r="T823" i="6" l="1"/>
  <c r="H823" i="6"/>
  <c r="T822" i="6" l="1"/>
  <c r="H822" i="6"/>
  <c r="T821" i="6"/>
  <c r="H821" i="6"/>
  <c r="T820" i="6" l="1"/>
  <c r="H820" i="6"/>
  <c r="O817" i="6" l="1"/>
  <c r="I817" i="6"/>
  <c r="H817" i="6"/>
  <c r="Q817" i="6" l="1"/>
  <c r="L817" i="6"/>
  <c r="M817" i="6" s="1"/>
  <c r="K817" i="6"/>
  <c r="O816" i="6"/>
  <c r="O830" i="6" s="1"/>
  <c r="L816" i="6"/>
  <c r="I816" i="6"/>
  <c r="H816" i="6"/>
  <c r="Q816" i="6" s="1"/>
  <c r="J816" i="6" l="1"/>
  <c r="K816" i="6" s="1"/>
  <c r="K830" i="6" s="1"/>
  <c r="M816" i="6"/>
  <c r="M830" i="6" s="1"/>
  <c r="T815" i="6" l="1"/>
  <c r="H815" i="6"/>
  <c r="T814" i="6" l="1"/>
  <c r="H814" i="6"/>
  <c r="T813" i="6"/>
  <c r="H813" i="6"/>
  <c r="C812" i="6" l="1"/>
  <c r="T811" i="6" l="1"/>
  <c r="C811" i="6"/>
  <c r="H811" i="6" l="1"/>
  <c r="T810" i="6"/>
  <c r="C810" i="6"/>
  <c r="T809" i="6"/>
  <c r="H810" i="6" l="1"/>
  <c r="T808" i="6" l="1"/>
  <c r="H808" i="6"/>
  <c r="T816" i="6" l="1"/>
  <c r="T817" i="6" l="1"/>
  <c r="X652" i="6" l="1"/>
  <c r="X653" i="6" l="1"/>
  <c r="X654" i="6" l="1"/>
  <c r="X655" i="6" l="1"/>
  <c r="X656" i="6" l="1"/>
  <c r="X657" i="6" l="1"/>
  <c r="X658" i="6" l="1"/>
  <c r="X659" i="6" l="1"/>
  <c r="X660" i="6" l="1"/>
  <c r="X661" i="6" l="1"/>
  <c r="X662" i="6" l="1"/>
  <c r="X663" i="6" l="1"/>
  <c r="T807" i="6"/>
  <c r="H807" i="6"/>
  <c r="X664" i="6" l="1"/>
  <c r="T806" i="6"/>
  <c r="H806" i="6"/>
  <c r="T805" i="6"/>
  <c r="H805" i="6"/>
  <c r="X665" i="6" l="1"/>
  <c r="T804" i="6"/>
  <c r="H804" i="6"/>
  <c r="X666" i="6" l="1"/>
  <c r="T803" i="6"/>
  <c r="H803" i="6"/>
  <c r="X667" i="6" l="1"/>
  <c r="T802" i="6"/>
  <c r="H802" i="6"/>
  <c r="T801" i="6"/>
  <c r="H801" i="6"/>
  <c r="X668" i="6" l="1"/>
  <c r="T800" i="6"/>
  <c r="H800" i="6"/>
  <c r="X669" i="6" l="1"/>
  <c r="X670" i="6" l="1"/>
  <c r="T799" i="6"/>
  <c r="H799" i="6"/>
  <c r="X671" i="6" l="1"/>
  <c r="T798" i="6"/>
  <c r="H798" i="6"/>
  <c r="T797" i="6"/>
  <c r="H797" i="6"/>
  <c r="X672" i="6" l="1"/>
  <c r="T796" i="6"/>
  <c r="H796" i="6"/>
  <c r="X673" i="6" l="1"/>
  <c r="T795" i="6"/>
  <c r="H795" i="6"/>
  <c r="X674" i="6" l="1"/>
  <c r="Q794" i="6"/>
  <c r="O794" i="6"/>
  <c r="L794" i="6"/>
  <c r="J794" i="6"/>
  <c r="I794" i="6"/>
  <c r="H794" i="6"/>
  <c r="G794" i="6"/>
  <c r="Q793" i="6"/>
  <c r="O793" i="6"/>
  <c r="L793" i="6"/>
  <c r="J793" i="6"/>
  <c r="I793" i="6"/>
  <c r="H793" i="6"/>
  <c r="G793" i="6"/>
  <c r="X675" i="6" l="1"/>
  <c r="K793" i="6"/>
  <c r="M794" i="6"/>
  <c r="M793" i="6"/>
  <c r="K794" i="6"/>
  <c r="O792" i="6"/>
  <c r="L792" i="6"/>
  <c r="I792" i="6"/>
  <c r="H792" i="6"/>
  <c r="J792" i="6" s="1"/>
  <c r="X676" i="6" l="1"/>
  <c r="J795" i="6"/>
  <c r="K795" i="6" s="1"/>
  <c r="Q792" i="6"/>
  <c r="M792" i="6"/>
  <c r="K792" i="6"/>
  <c r="X677" i="6" l="1"/>
  <c r="T791" i="6"/>
  <c r="O791" i="6"/>
  <c r="L791" i="6"/>
  <c r="I791" i="6"/>
  <c r="H791" i="6"/>
  <c r="M791" i="6" l="1"/>
  <c r="O790" i="6"/>
  <c r="O804" i="6" s="1"/>
  <c r="L790" i="6"/>
  <c r="I790" i="6"/>
  <c r="H790" i="6"/>
  <c r="Q790" i="6" s="1"/>
  <c r="G790" i="6"/>
  <c r="T789" i="6"/>
  <c r="H789" i="6"/>
  <c r="J790" i="6" l="1"/>
  <c r="K790" i="6" s="1"/>
  <c r="M790" i="6"/>
  <c r="M804" i="6" s="1"/>
  <c r="T788" i="6"/>
  <c r="H788" i="6"/>
  <c r="T787" i="6" l="1"/>
  <c r="H787" i="6"/>
  <c r="C786" i="6" l="1"/>
  <c r="T785" i="6"/>
  <c r="C785" i="6"/>
  <c r="H785" i="6" l="1"/>
  <c r="T784" i="6"/>
  <c r="C784" i="6"/>
  <c r="H784" i="6" l="1"/>
  <c r="T783" i="6" l="1"/>
  <c r="T782" i="6" l="1"/>
  <c r="H782" i="6"/>
  <c r="T790" i="6" l="1"/>
  <c r="T792" i="6" l="1"/>
  <c r="T793" i="6" l="1"/>
  <c r="T794" i="6" l="1"/>
  <c r="T781" i="6" l="1"/>
  <c r="H781" i="6"/>
  <c r="T780" i="6"/>
  <c r="H780" i="6"/>
  <c r="T779" i="6" l="1"/>
  <c r="H779" i="6"/>
  <c r="T778" i="6" l="1"/>
  <c r="H778" i="6"/>
  <c r="T777" i="6" l="1"/>
  <c r="H777" i="6"/>
  <c r="T776" i="6"/>
  <c r="H776" i="6"/>
  <c r="T775" i="6" l="1"/>
  <c r="H775" i="6"/>
  <c r="T774" i="6" l="1"/>
  <c r="H774" i="6"/>
  <c r="T773" i="6" l="1"/>
  <c r="H773" i="6"/>
  <c r="T772" i="6"/>
  <c r="H772" i="6"/>
  <c r="T771" i="6" l="1"/>
  <c r="H771" i="6"/>
  <c r="T770" i="6" l="1"/>
  <c r="H770" i="6"/>
  <c r="T769" i="6" l="1"/>
  <c r="H769" i="6"/>
  <c r="Q768" i="6"/>
  <c r="O768" i="6"/>
  <c r="L768" i="6"/>
  <c r="J768" i="6"/>
  <c r="I768" i="6"/>
  <c r="H768" i="6"/>
  <c r="G768" i="6"/>
  <c r="K768" i="6" l="1"/>
  <c r="M768" i="6"/>
  <c r="Q767" i="6"/>
  <c r="O767" i="6"/>
  <c r="L767" i="6"/>
  <c r="J767" i="6"/>
  <c r="I767" i="6"/>
  <c r="H767" i="6"/>
  <c r="G767" i="6"/>
  <c r="K767" i="6" l="1"/>
  <c r="M767" i="6"/>
  <c r="J769" i="6" s="1"/>
  <c r="K769" i="6" s="1"/>
  <c r="O766" i="6" l="1"/>
  <c r="L766" i="6"/>
  <c r="I766" i="6"/>
  <c r="H766" i="6"/>
  <c r="Q766" i="6" s="1"/>
  <c r="J766" i="6" l="1"/>
  <c r="K766" i="6" s="1"/>
  <c r="M766" i="6"/>
  <c r="T765" i="6"/>
  <c r="O765" i="6"/>
  <c r="L765" i="6"/>
  <c r="I765" i="6"/>
  <c r="H765" i="6"/>
  <c r="X678" i="6" l="1"/>
  <c r="M765" i="6"/>
  <c r="O764" i="6"/>
  <c r="O778" i="6" s="1"/>
  <c r="L764" i="6"/>
  <c r="I764" i="6"/>
  <c r="H764" i="6"/>
  <c r="Q764" i="6" s="1"/>
  <c r="G764" i="6"/>
  <c r="X679" i="6" l="1"/>
  <c r="J764" i="6"/>
  <c r="K764" i="6" s="1"/>
  <c r="M764" i="6"/>
  <c r="M778" i="6" s="1"/>
  <c r="T763" i="6"/>
  <c r="H763" i="6"/>
  <c r="X680" i="6" l="1"/>
  <c r="T762" i="6"/>
  <c r="H762" i="6"/>
  <c r="X681" i="6" l="1"/>
  <c r="T761" i="6"/>
  <c r="H761" i="6"/>
  <c r="C760" i="6"/>
  <c r="X682" i="6" l="1"/>
  <c r="T759" i="6"/>
  <c r="C759" i="6"/>
  <c r="X683" i="6" l="1"/>
  <c r="H759" i="6"/>
  <c r="X684" i="6" l="1"/>
  <c r="T758" i="6"/>
  <c r="C758" i="6"/>
  <c r="X685" i="6" l="1"/>
  <c r="H758" i="6"/>
  <c r="T757" i="6"/>
  <c r="T756" i="6"/>
  <c r="H756" i="6"/>
  <c r="X686" i="6" l="1"/>
  <c r="T755" i="6"/>
  <c r="H755" i="6"/>
  <c r="X687" i="6" l="1"/>
  <c r="T754" i="6"/>
  <c r="H754" i="6"/>
  <c r="X688" i="6" l="1"/>
  <c r="T753" i="6"/>
  <c r="H753" i="6"/>
  <c r="T752" i="6"/>
  <c r="H752" i="6"/>
  <c r="X689" i="6" l="1"/>
  <c r="T751" i="6"/>
  <c r="H751" i="6"/>
  <c r="X690" i="6" l="1"/>
  <c r="T750" i="6"/>
  <c r="H750" i="6"/>
  <c r="X691" i="6" l="1"/>
  <c r="T749" i="6"/>
  <c r="H749" i="6"/>
  <c r="T748" i="6"/>
  <c r="H748" i="6"/>
  <c r="X692" i="6" l="1"/>
  <c r="T764" i="6"/>
  <c r="T747" i="6"/>
  <c r="H747" i="6"/>
  <c r="X693" i="6" l="1"/>
  <c r="T766" i="6"/>
  <c r="T746" i="6"/>
  <c r="X694" i="6" l="1"/>
  <c r="T767" i="6"/>
  <c r="T745" i="6"/>
  <c r="T744" i="6"/>
  <c r="X695" i="6" l="1"/>
  <c r="T768" i="6"/>
  <c r="T743" i="6"/>
  <c r="X696" i="6" l="1"/>
  <c r="T742" i="6"/>
  <c r="H742" i="6"/>
  <c r="X697" i="6" l="1"/>
  <c r="Q741" i="6"/>
  <c r="O741" i="6"/>
  <c r="L741" i="6"/>
  <c r="J741" i="6"/>
  <c r="I741" i="6"/>
  <c r="H741" i="6"/>
  <c r="Q740" i="6"/>
  <c r="O740" i="6"/>
  <c r="L740" i="6"/>
  <c r="J740" i="6"/>
  <c r="I740" i="6"/>
  <c r="H740" i="6"/>
  <c r="X698" i="6" l="1"/>
  <c r="K740" i="6"/>
  <c r="M740" i="6"/>
  <c r="M741" i="6"/>
  <c r="K741" i="6"/>
  <c r="T739" i="6"/>
  <c r="O739" i="6"/>
  <c r="L739" i="6"/>
  <c r="I739" i="6"/>
  <c r="H739" i="6"/>
  <c r="X699" i="6" l="1"/>
  <c r="J742" i="6"/>
  <c r="K742" i="6" s="1"/>
  <c r="M739" i="6"/>
  <c r="X700" i="6" l="1"/>
  <c r="O738" i="6"/>
  <c r="O752" i="6" s="1"/>
  <c r="L738" i="6"/>
  <c r="I738" i="6"/>
  <c r="H738" i="6"/>
  <c r="Q738" i="6" s="1"/>
  <c r="G738" i="6"/>
  <c r="X701" i="6" l="1"/>
  <c r="J738" i="6"/>
  <c r="K738" i="6" s="1"/>
  <c r="M738" i="6"/>
  <c r="M752" i="6" s="1"/>
  <c r="T737" i="6"/>
  <c r="H737" i="6"/>
  <c r="T736" i="6"/>
  <c r="H736" i="6"/>
  <c r="X702" i="6" l="1"/>
  <c r="T735" i="6"/>
  <c r="H735" i="6"/>
  <c r="X703" i="6" l="1"/>
  <c r="C734" i="6"/>
  <c r="X704" i="6" l="1"/>
  <c r="T733" i="6"/>
  <c r="C733" i="6"/>
  <c r="T732" i="6"/>
  <c r="C732" i="6"/>
  <c r="X705" i="6" l="1"/>
  <c r="H732" i="6"/>
  <c r="H733" i="6"/>
  <c r="T731" i="6"/>
  <c r="X706" i="6" l="1"/>
  <c r="T730" i="6"/>
  <c r="H730" i="6"/>
  <c r="X707" i="6" l="1"/>
  <c r="T729" i="6"/>
  <c r="H729" i="6"/>
  <c r="X708" i="6" l="1"/>
  <c r="T728" i="6"/>
  <c r="H728" i="6"/>
  <c r="X709" i="6" l="1"/>
  <c r="T727" i="6"/>
  <c r="H727" i="6"/>
  <c r="T726" i="6"/>
  <c r="H726" i="6"/>
  <c r="X710" i="6" l="1"/>
  <c r="T725" i="6"/>
  <c r="H725" i="6"/>
  <c r="X711" i="6" l="1"/>
  <c r="T724" i="6"/>
  <c r="H724" i="6"/>
  <c r="X712" i="6" l="1"/>
  <c r="T723" i="6"/>
  <c r="H723" i="6"/>
  <c r="T722" i="6"/>
  <c r="H722" i="6"/>
  <c r="X713" i="6" l="1"/>
  <c r="T738" i="6"/>
  <c r="T721" i="6"/>
  <c r="H721" i="6"/>
  <c r="X714" i="6" l="1"/>
  <c r="T740" i="6"/>
  <c r="T720" i="6"/>
  <c r="H720" i="6"/>
  <c r="X715" i="6" l="1"/>
  <c r="T741" i="6"/>
  <c r="T719" i="6"/>
  <c r="H719" i="6"/>
  <c r="Q718" i="6"/>
  <c r="O718" i="6"/>
  <c r="L718" i="6"/>
  <c r="J718" i="6"/>
  <c r="I718" i="6"/>
  <c r="H718" i="6"/>
  <c r="X716" i="6" l="1"/>
  <c r="K718" i="6"/>
  <c r="M718" i="6"/>
  <c r="Q717" i="6"/>
  <c r="O717" i="6"/>
  <c r="L717" i="6"/>
  <c r="J717" i="6"/>
  <c r="I717" i="6"/>
  <c r="H717" i="6"/>
  <c r="X717" i="6" l="1"/>
  <c r="K717" i="6"/>
  <c r="M717" i="6"/>
  <c r="J719" i="6" s="1"/>
  <c r="K719" i="6" s="1"/>
  <c r="X718" i="6" l="1"/>
  <c r="O716" i="6"/>
  <c r="L716" i="6"/>
  <c r="I716" i="6"/>
  <c r="H716" i="6"/>
  <c r="Q716" i="6" s="1"/>
  <c r="X719" i="6" l="1"/>
  <c r="J716" i="6"/>
  <c r="K716" i="6" s="1"/>
  <c r="M716" i="6"/>
  <c r="O715" i="6"/>
  <c r="L715" i="6"/>
  <c r="I715" i="6"/>
  <c r="H715" i="6"/>
  <c r="Q715" i="6" s="1"/>
  <c r="X720" i="6" l="1"/>
  <c r="J715" i="6"/>
  <c r="K715" i="6" s="1"/>
  <c r="M715" i="6"/>
  <c r="O714" i="6"/>
  <c r="L714" i="6"/>
  <c r="I714" i="6"/>
  <c r="H714" i="6"/>
  <c r="Q714" i="6" s="1"/>
  <c r="X721" i="6" l="1"/>
  <c r="J714" i="6"/>
  <c r="K714" i="6" s="1"/>
  <c r="M714" i="6"/>
  <c r="O713" i="6"/>
  <c r="L713" i="6"/>
  <c r="I713" i="6"/>
  <c r="H713" i="6"/>
  <c r="Q713" i="6" s="1"/>
  <c r="X722" i="6" l="1"/>
  <c r="M713" i="6"/>
  <c r="X723" i="6" l="1"/>
  <c r="O712" i="6"/>
  <c r="O726" i="6" s="1"/>
  <c r="L712" i="6"/>
  <c r="I712" i="6"/>
  <c r="H712" i="6"/>
  <c r="Q712" i="6" s="1"/>
  <c r="X724" i="6" l="1"/>
  <c r="M712" i="6"/>
  <c r="M726" i="6" s="1"/>
  <c r="T711" i="6"/>
  <c r="H711" i="6"/>
  <c r="T710" i="6"/>
  <c r="H710" i="6"/>
  <c r="X725" i="6" l="1"/>
  <c r="T709" i="6"/>
  <c r="H709" i="6"/>
  <c r="X726" i="6" l="1"/>
  <c r="C708" i="6"/>
  <c r="X727" i="6" l="1"/>
  <c r="T707" i="6"/>
  <c r="C707" i="6"/>
  <c r="T706" i="6"/>
  <c r="C706" i="6"/>
  <c r="X728" i="6" l="1"/>
  <c r="H706" i="6"/>
  <c r="H707" i="6"/>
  <c r="T705" i="6"/>
  <c r="X729" i="6" l="1"/>
  <c r="T704" i="6"/>
  <c r="H704" i="6"/>
  <c r="X730" i="6" l="1"/>
  <c r="T703" i="6"/>
  <c r="H703" i="6"/>
  <c r="T702" i="6"/>
  <c r="H702" i="6"/>
  <c r="X731" i="6" l="1"/>
  <c r="T701" i="6"/>
  <c r="H701" i="6"/>
  <c r="X732" i="6" l="1"/>
  <c r="T700" i="6"/>
  <c r="H700" i="6"/>
  <c r="X733" i="6" l="1"/>
  <c r="T699" i="6"/>
  <c r="H699" i="6"/>
  <c r="T698" i="6"/>
  <c r="H698" i="6"/>
  <c r="X734" i="6" l="1"/>
  <c r="T697" i="6"/>
  <c r="H697" i="6"/>
  <c r="X735" i="6" l="1"/>
  <c r="T712" i="6"/>
  <c r="T696" i="6"/>
  <c r="H696" i="6"/>
  <c r="X736" i="6" l="1"/>
  <c r="T713" i="6"/>
  <c r="T695" i="6"/>
  <c r="H695" i="6"/>
  <c r="T694" i="6"/>
  <c r="H694" i="6"/>
  <c r="X737" i="6" l="1"/>
  <c r="T714" i="6"/>
  <c r="T693" i="6"/>
  <c r="H693" i="6"/>
  <c r="X738" i="6" l="1"/>
  <c r="T715" i="6"/>
  <c r="X739" i="6" l="1"/>
  <c r="T716" i="6"/>
  <c r="T692" i="6"/>
  <c r="H692" i="6"/>
  <c r="X740" i="6" l="1"/>
  <c r="T717" i="6"/>
  <c r="T691" i="6"/>
  <c r="H691" i="6"/>
  <c r="T690" i="6"/>
  <c r="H690" i="6"/>
  <c r="X741" i="6" l="1"/>
  <c r="T718" i="6"/>
  <c r="T689" i="6"/>
  <c r="H689" i="6"/>
  <c r="X742" i="6" l="1"/>
  <c r="Q688" i="6"/>
  <c r="O688" i="6"/>
  <c r="L688" i="6"/>
  <c r="J688" i="6"/>
  <c r="I688" i="6"/>
  <c r="H688" i="6"/>
  <c r="X743" i="6" l="1"/>
  <c r="K688" i="6"/>
  <c r="M688" i="6"/>
  <c r="J689" i="6" s="1"/>
  <c r="K689" i="6" s="1"/>
  <c r="T687" i="6"/>
  <c r="H687" i="6"/>
  <c r="X744" i="6" l="1"/>
  <c r="O686" i="6"/>
  <c r="O700" i="6" s="1"/>
  <c r="L686" i="6"/>
  <c r="I686" i="6"/>
  <c r="H686" i="6"/>
  <c r="Q686" i="6" s="1"/>
  <c r="X745" i="6" l="1"/>
  <c r="M686" i="6"/>
  <c r="M700" i="6" s="1"/>
  <c r="T685" i="6"/>
  <c r="H685" i="6"/>
  <c r="X746" i="6" l="1"/>
  <c r="T684" i="6"/>
  <c r="H684" i="6"/>
  <c r="X747" i="6" l="1"/>
  <c r="T683" i="6"/>
  <c r="H683" i="6"/>
  <c r="C682" i="6"/>
  <c r="X748" i="6" l="1"/>
  <c r="T681" i="6"/>
  <c r="C681" i="6"/>
  <c r="X749" i="6" l="1"/>
  <c r="H681" i="6"/>
  <c r="X750" i="6" l="1"/>
  <c r="T680" i="6"/>
  <c r="C680" i="6"/>
  <c r="X751" i="6" l="1"/>
  <c r="H680" i="6"/>
  <c r="T679" i="6"/>
  <c r="T678" i="6"/>
  <c r="H678" i="6"/>
  <c r="X752" i="6" l="1"/>
  <c r="X753" i="6" l="1"/>
  <c r="X754" i="6" l="1"/>
  <c r="X755" i="6" l="1"/>
  <c r="X756" i="6" l="1"/>
  <c r="T686" i="6"/>
  <c r="X757" i="6" l="1"/>
  <c r="X758" i="6" l="1"/>
  <c r="T688" i="6"/>
  <c r="X759" i="6" l="1"/>
  <c r="X760" i="6" l="1"/>
  <c r="X761" i="6" l="1"/>
  <c r="X762" i="6" l="1"/>
  <c r="X763" i="6" l="1"/>
  <c r="X764" i="6" l="1"/>
  <c r="X765" i="6" l="1"/>
  <c r="X766" i="6" l="1"/>
  <c r="X767" i="6" l="1"/>
  <c r="X768" i="6" l="1"/>
  <c r="X769" i="6" l="1"/>
  <c r="X770" i="6" l="1"/>
  <c r="X771" i="6" l="1"/>
  <c r="X772" i="6" l="1"/>
  <c r="X773" i="6" l="1"/>
  <c r="X774" i="6" l="1"/>
  <c r="X775" i="6" l="1"/>
  <c r="X776" i="6" l="1"/>
  <c r="X777" i="6" l="1"/>
  <c r="X778" i="6" l="1"/>
  <c r="X779" i="6" l="1"/>
  <c r="X780" i="6" l="1"/>
  <c r="X781" i="6" l="1"/>
  <c r="T677" i="6" l="1"/>
  <c r="H677" i="6"/>
  <c r="T676" i="6"/>
  <c r="H676" i="6"/>
  <c r="T675" i="6"/>
  <c r="H675" i="6"/>
  <c r="T674" i="6"/>
  <c r="H674" i="6"/>
  <c r="T673" i="6"/>
  <c r="H673" i="6"/>
  <c r="T672" i="6"/>
  <c r="O672" i="6"/>
  <c r="M672" i="6"/>
  <c r="I672" i="6"/>
  <c r="H672" i="6"/>
  <c r="Q671" i="6"/>
  <c r="O671" i="6"/>
  <c r="L671" i="6"/>
  <c r="J671" i="6"/>
  <c r="I671" i="6"/>
  <c r="H671" i="6"/>
  <c r="Q670" i="6"/>
  <c r="O670" i="6"/>
  <c r="L670" i="6"/>
  <c r="J670" i="6"/>
  <c r="I670" i="6"/>
  <c r="H670" i="6"/>
  <c r="O669" i="6"/>
  <c r="L669" i="6"/>
  <c r="I669" i="6"/>
  <c r="H669" i="6"/>
  <c r="Q669" i="6" s="1"/>
  <c r="K670" i="6" l="1"/>
  <c r="K671" i="6"/>
  <c r="M669" i="6"/>
  <c r="M670" i="6"/>
  <c r="M671" i="6"/>
  <c r="O668" i="6"/>
  <c r="L668" i="6"/>
  <c r="I668" i="6"/>
  <c r="H668" i="6"/>
  <c r="Q668" i="6" s="1"/>
  <c r="O667" i="6"/>
  <c r="L667" i="6"/>
  <c r="I667" i="6"/>
  <c r="H667" i="6"/>
  <c r="Q667" i="6" s="1"/>
  <c r="M667" i="6" l="1"/>
  <c r="M668" i="6"/>
  <c r="J672" i="6"/>
  <c r="K672" i="6" s="1"/>
  <c r="O666" i="6"/>
  <c r="L666" i="6"/>
  <c r="I666" i="6"/>
  <c r="H666" i="6"/>
  <c r="Q666" i="6" s="1"/>
  <c r="M666" i="6" l="1"/>
  <c r="J666" i="6"/>
  <c r="K666" i="6" s="1"/>
  <c r="O665" i="6"/>
  <c r="L665" i="6"/>
  <c r="I665" i="6"/>
  <c r="H665" i="6"/>
  <c r="Q665" i="6" s="1"/>
  <c r="O664" i="6"/>
  <c r="L664" i="6"/>
  <c r="I664" i="6"/>
  <c r="H664" i="6"/>
  <c r="Q664" i="6" s="1"/>
  <c r="O663" i="6"/>
  <c r="L663" i="6"/>
  <c r="I663" i="6"/>
  <c r="H663" i="6"/>
  <c r="J663" i="6" s="1"/>
  <c r="J664" i="6" l="1"/>
  <c r="K664" i="6" s="1"/>
  <c r="Q663" i="6"/>
  <c r="J665" i="6"/>
  <c r="K665" i="6" s="1"/>
  <c r="M663" i="6"/>
  <c r="M664" i="6"/>
  <c r="M665" i="6"/>
  <c r="K663" i="6"/>
  <c r="O662" i="6"/>
  <c r="L662" i="6"/>
  <c r="I662" i="6"/>
  <c r="H662" i="6"/>
  <c r="Q662" i="6" s="1"/>
  <c r="O661" i="6"/>
  <c r="L661" i="6"/>
  <c r="I661" i="6"/>
  <c r="H661" i="6"/>
  <c r="Q661" i="6" s="1"/>
  <c r="O660" i="6"/>
  <c r="L660" i="6"/>
  <c r="I660" i="6"/>
  <c r="H660" i="6"/>
  <c r="J660" i="6" s="1"/>
  <c r="T659" i="6"/>
  <c r="H659" i="6"/>
  <c r="T658" i="6"/>
  <c r="H658" i="6"/>
  <c r="T657" i="6"/>
  <c r="H657" i="6"/>
  <c r="C656" i="6"/>
  <c r="T655" i="6"/>
  <c r="C655" i="6"/>
  <c r="T654" i="6"/>
  <c r="C654" i="6"/>
  <c r="T653" i="6"/>
  <c r="T652" i="6"/>
  <c r="H652" i="6"/>
  <c r="J661" i="6" l="1"/>
  <c r="K661" i="6" s="1"/>
  <c r="Q660" i="6"/>
  <c r="M662" i="6"/>
  <c r="O674" i="6"/>
  <c r="J662" i="6"/>
  <c r="K662" i="6" s="1"/>
  <c r="H655" i="6"/>
  <c r="H654" i="6"/>
  <c r="M660" i="6"/>
  <c r="M661" i="6"/>
  <c r="K660" i="6"/>
  <c r="M674" i="6" l="1"/>
  <c r="T660" i="6" l="1"/>
  <c r="T661" i="6" l="1"/>
  <c r="T662" i="6" l="1"/>
  <c r="T663" i="6" l="1"/>
  <c r="T664" i="6" l="1"/>
  <c r="T665" i="6" l="1"/>
  <c r="T666" i="6" l="1"/>
  <c r="T667" i="6" l="1"/>
  <c r="T668" i="6" l="1"/>
  <c r="T669" i="6" l="1"/>
  <c r="T670" i="6" l="1"/>
  <c r="T671" i="6" l="1"/>
  <c r="X782" i="6" l="1"/>
  <c r="X783" i="6" l="1"/>
  <c r="X784" i="6" l="1"/>
  <c r="X785" i="6" l="1"/>
  <c r="X786" i="6" l="1"/>
  <c r="X787" i="6" l="1"/>
  <c r="X788" i="6" l="1"/>
  <c r="X789" i="6" l="1"/>
  <c r="X790" i="6" l="1"/>
  <c r="X791" i="6" l="1"/>
  <c r="X792" i="6" l="1"/>
  <c r="X793" i="6" l="1"/>
  <c r="X794" i="6" l="1"/>
  <c r="X795" i="6" l="1"/>
  <c r="X796" i="6" l="1"/>
  <c r="X797" i="6" l="1"/>
  <c r="X798" i="6" l="1"/>
  <c r="X799" i="6" l="1"/>
  <c r="X800" i="6" l="1"/>
  <c r="X801" i="6" l="1"/>
  <c r="X802" i="6" l="1"/>
  <c r="X803" i="6" l="1"/>
  <c r="X804" i="6" l="1"/>
  <c r="X805" i="6" l="1"/>
  <c r="X806" i="6" l="1"/>
  <c r="X807" i="6" l="1"/>
  <c r="X808" i="6" l="1"/>
  <c r="X809" i="6" l="1"/>
  <c r="X810" i="6" l="1"/>
  <c r="X811" i="6" l="1"/>
  <c r="X812" i="6" l="1"/>
  <c r="X813" i="6" l="1"/>
  <c r="X814" i="6" l="1"/>
  <c r="X815" i="6" l="1"/>
  <c r="X816" i="6" l="1"/>
  <c r="X817" i="6" l="1"/>
  <c r="X818" i="6" s="1"/>
  <c r="X819" i="6" s="1"/>
  <c r="X820" i="6" l="1"/>
  <c r="X821" i="6" l="1"/>
  <c r="X822" i="6" l="1"/>
  <c r="X823" i="6" l="1"/>
  <c r="X824" i="6" l="1"/>
  <c r="X825" i="6" l="1"/>
  <c r="X826" i="6" l="1"/>
  <c r="X827" i="6" l="1"/>
  <c r="X828" i="6" l="1"/>
  <c r="X829" i="6" l="1"/>
  <c r="X830" i="6" l="1"/>
  <c r="X831" i="6" l="1"/>
  <c r="X832" i="6" l="1"/>
  <c r="X833" i="6" l="1"/>
  <c r="X834" i="6" l="1"/>
  <c r="X835" i="6" l="1"/>
  <c r="X836" i="6" l="1"/>
  <c r="X837" i="6" l="1"/>
  <c r="T651" i="6"/>
  <c r="H651" i="6"/>
  <c r="X838" i="6" l="1"/>
  <c r="T650" i="6"/>
  <c r="H650" i="6"/>
  <c r="X839" i="6" l="1"/>
  <c r="T649" i="6"/>
  <c r="H649" i="6"/>
  <c r="T648" i="6"/>
  <c r="H648" i="6"/>
  <c r="X840" i="6" l="1"/>
  <c r="T647" i="6"/>
  <c r="H647" i="6"/>
  <c r="X841" i="6" l="1"/>
  <c r="T646" i="6"/>
  <c r="H646" i="6"/>
  <c r="T645" i="6"/>
  <c r="H645" i="6"/>
  <c r="T644" i="6"/>
  <c r="H644" i="6"/>
  <c r="T643" i="6"/>
  <c r="H643" i="6"/>
  <c r="T642" i="6"/>
  <c r="H642" i="6"/>
  <c r="T641" i="6"/>
  <c r="H641" i="6"/>
  <c r="T640" i="6"/>
  <c r="H640" i="6"/>
  <c r="T639" i="6"/>
  <c r="H639" i="6"/>
  <c r="T638" i="6"/>
  <c r="H638" i="6"/>
  <c r="T633" i="6"/>
  <c r="H633" i="6"/>
  <c r="T632" i="6"/>
  <c r="H632" i="6"/>
  <c r="T631" i="6"/>
  <c r="H631" i="6"/>
  <c r="C630" i="6"/>
  <c r="T629" i="6"/>
  <c r="C629" i="6"/>
  <c r="T628" i="6"/>
  <c r="C628" i="6"/>
  <c r="T627" i="6"/>
  <c r="X842" i="6" l="1"/>
  <c r="H629" i="6"/>
  <c r="H628" i="6"/>
  <c r="X843" i="6" l="1"/>
  <c r="X844" i="6" s="1"/>
  <c r="X845" i="6" s="1"/>
  <c r="X846" i="6" s="1"/>
  <c r="T625" i="6" l="1"/>
  <c r="H625" i="6"/>
  <c r="T624" i="6" l="1"/>
  <c r="H624" i="6"/>
  <c r="T623" i="6" l="1"/>
  <c r="H623" i="6"/>
  <c r="X847" i="6" l="1"/>
  <c r="T622" i="6"/>
  <c r="X848" i="6" l="1"/>
  <c r="H622" i="6"/>
  <c r="X849" i="6" l="1"/>
  <c r="T621" i="6"/>
  <c r="H621" i="6"/>
  <c r="X850" i="6" l="1"/>
  <c r="T620" i="6"/>
  <c r="H620" i="6"/>
  <c r="X851" i="6" l="1"/>
  <c r="T619" i="6"/>
  <c r="H619" i="6"/>
  <c r="X852" i="6" l="1"/>
  <c r="T618" i="6"/>
  <c r="H618" i="6"/>
  <c r="T617" i="6"/>
  <c r="H617" i="6"/>
  <c r="X853" i="6" l="1"/>
  <c r="T616" i="6"/>
  <c r="H616" i="6"/>
  <c r="X854" i="6" l="1"/>
  <c r="X855" i="6" l="1"/>
  <c r="X856" i="6" l="1"/>
  <c r="X857" i="6" l="1"/>
  <c r="X858" i="6" l="1"/>
  <c r="X859" i="6" l="1"/>
  <c r="T607" i="6"/>
  <c r="H607" i="6"/>
  <c r="T606" i="6" l="1"/>
  <c r="H606" i="6"/>
  <c r="T605" i="6" l="1"/>
  <c r="H605" i="6"/>
  <c r="C604" i="6" l="1"/>
  <c r="T603" i="6" l="1"/>
  <c r="C603" i="6"/>
  <c r="H603" i="6" l="1"/>
  <c r="T602" i="6"/>
  <c r="C602" i="6"/>
  <c r="H602" i="6" l="1"/>
  <c r="T601" i="6"/>
  <c r="T600" i="6" l="1"/>
  <c r="H600" i="6"/>
  <c r="X860" i="6" l="1"/>
  <c r="X861" i="6" l="1"/>
  <c r="X862" i="6" l="1"/>
  <c r="X863" i="6" l="1"/>
  <c r="X864" i="6" l="1"/>
  <c r="X865" i="6" l="1"/>
  <c r="X866" i="6" l="1"/>
  <c r="X867" i="6" l="1"/>
  <c r="X868" i="6" l="1"/>
  <c r="X869" i="6" l="1"/>
  <c r="X870" i="6" l="1"/>
  <c r="X871" i="6" l="1"/>
  <c r="X872" i="6" l="1"/>
  <c r="X873" i="6" l="1"/>
  <c r="X874" i="6" l="1"/>
  <c r="X875" i="6" l="1"/>
  <c r="X876" i="6" l="1"/>
  <c r="X877" i="6" l="1"/>
  <c r="X878" i="6" l="1"/>
  <c r="X879" i="6" l="1"/>
  <c r="X880" i="6" l="1"/>
  <c r="X881" i="6" l="1"/>
  <c r="X882" i="6" l="1"/>
  <c r="X883" i="6" l="1"/>
  <c r="X884" i="6" l="1"/>
  <c r="X885" i="6" l="1"/>
  <c r="X886" i="6" l="1"/>
  <c r="X887" i="6" l="1"/>
  <c r="X888" i="6" l="1"/>
  <c r="X889" i="6" l="1"/>
  <c r="X890" i="6" l="1"/>
  <c r="X891" i="6" l="1"/>
  <c r="X892" i="6" l="1"/>
  <c r="X893" i="6" l="1"/>
  <c r="X894" i="6" l="1"/>
  <c r="X895" i="6" l="1"/>
  <c r="X896" i="6" l="1"/>
  <c r="X897" i="6" l="1"/>
  <c r="X898" i="6" l="1"/>
  <c r="X899" i="6" l="1"/>
  <c r="X900" i="6" l="1"/>
  <c r="X901" i="6" l="1"/>
  <c r="X902" i="6" l="1"/>
  <c r="X903" i="6" l="1"/>
  <c r="X904" i="6" l="1"/>
  <c r="X905" i="6" l="1"/>
  <c r="X906" i="6" l="1"/>
  <c r="X907" i="6" l="1"/>
  <c r="X908" i="6" l="1"/>
  <c r="X909" i="6" l="1"/>
  <c r="X910" i="6" l="1"/>
  <c r="X911" i="6" l="1"/>
  <c r="X912" i="6" l="1"/>
  <c r="X913" i="6" l="1"/>
  <c r="X914" i="6" l="1"/>
  <c r="X915" i="6" l="1"/>
  <c r="X916" i="6" l="1"/>
  <c r="X917" i="6" l="1"/>
  <c r="X918" i="6" l="1"/>
  <c r="X919" i="6" l="1"/>
  <c r="X920" i="6" l="1"/>
  <c r="X921" i="6" l="1"/>
  <c r="X922" i="6" l="1"/>
  <c r="X923" i="6" l="1"/>
  <c r="X924" i="6" l="1"/>
  <c r="X925" i="6" l="1"/>
  <c r="X926" i="6" l="1"/>
  <c r="X927" i="6" l="1"/>
  <c r="X928" i="6" l="1"/>
  <c r="X929" i="6" l="1"/>
  <c r="X930" i="6" l="1"/>
  <c r="X931" i="6" l="1"/>
  <c r="X932" i="6" l="1"/>
  <c r="X933" i="6" l="1"/>
  <c r="X934" i="6" l="1"/>
  <c r="X935" i="6" l="1"/>
  <c r="X936" i="6" l="1"/>
  <c r="X937" i="6" l="1"/>
  <c r="X938" i="6" l="1"/>
  <c r="X939" i="6" l="1"/>
  <c r="X940" i="6" l="1"/>
  <c r="X941" i="6" l="1"/>
  <c r="X942" i="6" l="1"/>
  <c r="X943" i="6" l="1"/>
  <c r="X944" i="6" l="1"/>
  <c r="X945" i="6" l="1"/>
  <c r="X946" i="6" l="1"/>
  <c r="X947" i="6" l="1"/>
  <c r="X948" i="6" l="1"/>
  <c r="X949" i="6" l="1"/>
  <c r="X950" i="6" l="1"/>
  <c r="X951" i="6" l="1"/>
  <c r="X952" i="6" l="1"/>
  <c r="X953" i="6" l="1"/>
  <c r="X954" i="6" l="1"/>
  <c r="X955" i="6" l="1"/>
  <c r="X956" i="6" l="1"/>
  <c r="X957" i="6" l="1"/>
  <c r="X958" i="6" l="1"/>
  <c r="X959" i="6" l="1"/>
  <c r="T599" i="6"/>
  <c r="H599" i="6"/>
  <c r="X960" i="6" l="1"/>
  <c r="T598" i="6"/>
  <c r="H598" i="6"/>
  <c r="X961" i="6" l="1"/>
  <c r="T597" i="6"/>
  <c r="H597" i="6"/>
  <c r="T596" i="6"/>
  <c r="H596" i="6"/>
  <c r="X962" i="6" l="1"/>
  <c r="T595" i="6"/>
  <c r="H595" i="6"/>
  <c r="X963" i="6" l="1"/>
  <c r="T594" i="6"/>
  <c r="H594" i="6"/>
  <c r="X964" i="6" l="1"/>
  <c r="T593" i="6"/>
  <c r="H593" i="6"/>
  <c r="T592" i="6"/>
  <c r="H592" i="6"/>
  <c r="X965" i="6" l="1"/>
  <c r="T591" i="6"/>
  <c r="H591" i="6"/>
  <c r="X966" i="6" l="1"/>
  <c r="T590" i="6"/>
  <c r="H590" i="6"/>
  <c r="X967" i="6" l="1"/>
  <c r="T589" i="6"/>
  <c r="H589" i="6"/>
  <c r="T588" i="6"/>
  <c r="H588" i="6"/>
  <c r="X968" i="6" l="1"/>
  <c r="T587" i="6"/>
  <c r="H587" i="6"/>
  <c r="X969" i="6" l="1"/>
  <c r="T586" i="6"/>
  <c r="H586" i="6"/>
  <c r="X970" i="6" l="1"/>
  <c r="O585" i="6"/>
  <c r="L585" i="6"/>
  <c r="I585" i="6"/>
  <c r="H585" i="6"/>
  <c r="Q585" i="6" s="1"/>
  <c r="I584" i="6"/>
  <c r="H584" i="6"/>
  <c r="G584" i="6"/>
  <c r="X971" i="6" l="1"/>
  <c r="J585" i="6"/>
  <c r="M585" i="6"/>
  <c r="I583" i="6"/>
  <c r="H583" i="6"/>
  <c r="G583" i="6"/>
  <c r="X972" i="6" l="1"/>
  <c r="O582" i="6"/>
  <c r="L582" i="6"/>
  <c r="I582" i="6"/>
  <c r="H582" i="6"/>
  <c r="G582" i="6" s="1"/>
  <c r="G585" i="6" s="1"/>
  <c r="K585" i="6" s="1"/>
  <c r="X973" i="6" l="1"/>
  <c r="Q582" i="6"/>
  <c r="J582" i="6"/>
  <c r="K582" i="6" s="1"/>
  <c r="M582" i="6"/>
  <c r="T581" i="6"/>
  <c r="H581" i="6"/>
  <c r="T580" i="6"/>
  <c r="H580" i="6"/>
  <c r="X974" i="6" l="1"/>
  <c r="T579" i="6"/>
  <c r="H579" i="6"/>
  <c r="X975" i="6" l="1"/>
  <c r="C578" i="6"/>
  <c r="X976" i="6" l="1"/>
  <c r="T577" i="6"/>
  <c r="C577" i="6"/>
  <c r="T576" i="6"/>
  <c r="C576" i="6"/>
  <c r="X977" i="6" l="1"/>
  <c r="H576" i="6"/>
  <c r="H577" i="6"/>
  <c r="T575" i="6"/>
  <c r="X978" i="6" l="1"/>
  <c r="T574" i="6"/>
  <c r="H574" i="6"/>
  <c r="X979" i="6" l="1"/>
  <c r="X980" i="6" l="1"/>
  <c r="X981" i="6" l="1"/>
  <c r="X982" i="6" l="1"/>
  <c r="X983" i="6" l="1"/>
  <c r="X984" i="6" l="1"/>
  <c r="X985" i="6" l="1"/>
  <c r="T582" i="6"/>
  <c r="X986" i="6" l="1"/>
  <c r="X987" i="6" l="1"/>
  <c r="T585" i="6"/>
  <c r="X988" i="6" l="1"/>
  <c r="X989" i="6" l="1"/>
  <c r="X990" i="6" l="1"/>
  <c r="X991" i="6" l="1"/>
  <c r="X992" i="6" l="1"/>
  <c r="X993" i="6" l="1"/>
  <c r="X994" i="6" l="1"/>
  <c r="X995" i="6" l="1"/>
  <c r="X996" i="6" l="1"/>
  <c r="X997" i="6" l="1"/>
  <c r="X998" i="6" l="1"/>
  <c r="X999" i="6" l="1"/>
  <c r="X1000" i="6" l="1"/>
  <c r="X1001" i="6" l="1"/>
  <c r="X1002" i="6" l="1"/>
  <c r="X1003" i="6" l="1"/>
  <c r="X1004" i="6" l="1"/>
  <c r="X1005" i="6" l="1"/>
  <c r="X1006" i="6" l="1"/>
  <c r="X1007" i="6" l="1"/>
  <c r="X1008" i="6" l="1"/>
  <c r="X1009" i="6" l="1"/>
  <c r="X1010" i="6" l="1"/>
  <c r="X1011" i="6" l="1"/>
  <c r="X1012" i="6" l="1"/>
  <c r="X1013" i="6" l="1"/>
  <c r="X1014" i="6" l="1"/>
  <c r="X1015" i="6" l="1"/>
  <c r="X1016" i="6" l="1"/>
  <c r="X1017" i="6" l="1"/>
  <c r="X1018" i="6" l="1"/>
  <c r="X1019" i="6" l="1"/>
  <c r="X1020" i="6" l="1"/>
  <c r="X1021" i="6" l="1"/>
  <c r="X1022" i="6" l="1"/>
  <c r="X1023" i="6" l="1"/>
  <c r="X1024" i="6" l="1"/>
  <c r="X1025" i="6" l="1"/>
  <c r="X1026" i="6" l="1"/>
  <c r="X1027" i="6" l="1"/>
  <c r="X1028" i="6" l="1"/>
  <c r="X1029" i="6" l="1"/>
  <c r="X1030" i="6" l="1"/>
  <c r="X1031" i="6" l="1"/>
  <c r="X1032" i="6" l="1"/>
  <c r="X1033" i="6" l="1"/>
  <c r="X1034" i="6" l="1"/>
  <c r="X1035" i="6" l="1"/>
  <c r="X1036" i="6" l="1"/>
  <c r="X1037" i="6" l="1"/>
  <c r="X1038" i="6" l="1"/>
  <c r="X1039" i="6" l="1"/>
  <c r="X1040" i="6" l="1"/>
  <c r="X1041" i="6" l="1"/>
  <c r="X1042" i="6" l="1"/>
  <c r="X1043" i="6" l="1"/>
  <c r="X1044" i="6" l="1"/>
  <c r="X1045" i="6" l="1"/>
  <c r="X1046" i="6" l="1"/>
  <c r="X1047" i="6" l="1"/>
  <c r="X1048" i="6" l="1"/>
  <c r="X1049" i="6" l="1"/>
  <c r="X1050" i="6" l="1"/>
  <c r="X1051" i="6" l="1"/>
  <c r="X1052" i="6" l="1"/>
  <c r="X1053" i="6" l="1"/>
  <c r="X1054" i="6" l="1"/>
  <c r="X1055" i="6" l="1"/>
  <c r="X1056" i="6" l="1"/>
  <c r="X1057" i="6" l="1"/>
  <c r="X1058" i="6" l="1"/>
  <c r="X1059" i="6" l="1"/>
  <c r="X1060" i="6" l="1"/>
  <c r="X1061" i="6" l="1"/>
  <c r="X1062" i="6" l="1"/>
  <c r="X1063" i="6" l="1"/>
  <c r="X1064" i="6" l="1"/>
  <c r="X1065" i="6" l="1"/>
  <c r="X1066" i="6" l="1"/>
  <c r="X1067" i="6" l="1"/>
  <c r="X1068" i="6" l="1"/>
  <c r="X1069" i="6" l="1"/>
  <c r="X1070" i="6" l="1"/>
  <c r="X1071" i="6" l="1"/>
  <c r="X1072" i="6" l="1"/>
  <c r="X1073" i="6" l="1"/>
  <c r="X1074" i="6" l="1"/>
  <c r="X1075" i="6" l="1"/>
  <c r="X1076" i="6" l="1"/>
  <c r="X1077" i="6" l="1"/>
  <c r="X1078" i="6" l="1"/>
  <c r="X1079" i="6" l="1"/>
  <c r="X1080" i="6" l="1"/>
  <c r="X1081" i="6" l="1"/>
  <c r="X1082" i="6" l="1"/>
  <c r="X1083" i="6" l="1"/>
  <c r="X1084" i="6" l="1"/>
  <c r="X1085" i="6" l="1"/>
  <c r="X1086" i="6" l="1"/>
  <c r="X1087" i="6" l="1"/>
  <c r="X1088" i="6" l="1"/>
  <c r="X1089" i="6" l="1"/>
  <c r="X1090" i="6" l="1"/>
  <c r="X1091" i="6" l="1"/>
  <c r="X1092" i="6" l="1"/>
  <c r="X1093" i="6" l="1"/>
  <c r="X1094" i="6" l="1"/>
  <c r="X1095" i="6" l="1"/>
  <c r="X1096" i="6" l="1"/>
  <c r="X1097" i="6" l="1"/>
  <c r="X1098" i="6" l="1"/>
  <c r="X1099" i="6" l="1"/>
  <c r="X1100" i="6" l="1"/>
  <c r="X1101" i="6" l="1"/>
  <c r="X1102" i="6" l="1"/>
  <c r="X1103" i="6" l="1"/>
  <c r="X1104" i="6" l="1"/>
  <c r="X1105" i="6" l="1"/>
  <c r="X1106" i="6" l="1"/>
  <c r="X1107" i="6" l="1"/>
  <c r="X1108" i="6" l="1"/>
  <c r="X1109" i="6" l="1"/>
  <c r="X1110" i="6" l="1"/>
  <c r="X1111" i="6" l="1"/>
  <c r="X1112" i="6" l="1"/>
  <c r="X1113" i="6" l="1"/>
  <c r="X1114" i="6" l="1"/>
  <c r="X1115" i="6" l="1"/>
  <c r="X1116" i="6" l="1"/>
  <c r="X1117" i="6" l="1"/>
  <c r="X1118" i="6" l="1"/>
  <c r="X1119" i="6" l="1"/>
  <c r="X1120" i="6" l="1"/>
  <c r="X1121" i="6" l="1"/>
  <c r="X1122" i="6" l="1"/>
  <c r="X1123" i="6" l="1"/>
  <c r="X1124" i="6" l="1"/>
  <c r="X1125" i="6" l="1"/>
  <c r="X1126" i="6" l="1"/>
  <c r="X1127" i="6" l="1"/>
  <c r="X1128" i="6" l="1"/>
  <c r="X1129" i="6" l="1"/>
  <c r="X1130" i="6" l="1"/>
  <c r="X1131" i="6" l="1"/>
  <c r="X1132" i="6" l="1"/>
  <c r="X1133" i="6" l="1"/>
  <c r="X1134" i="6" l="1"/>
  <c r="X1135" i="6" l="1"/>
  <c r="X1136" i="6" l="1"/>
  <c r="X1137" i="6" l="1"/>
  <c r="X1138" i="6" l="1"/>
  <c r="X1139" i="6" l="1"/>
  <c r="X1140" i="6" l="1"/>
  <c r="X1141" i="6" l="1"/>
  <c r="X1142" i="6" l="1"/>
  <c r="X1143" i="6" l="1"/>
  <c r="X1144" i="6" l="1"/>
  <c r="X1145" i="6" l="1"/>
  <c r="T573" i="6" l="1"/>
  <c r="H573" i="6"/>
  <c r="T572" i="6" l="1"/>
  <c r="H572" i="6"/>
  <c r="T571" i="6" l="1"/>
  <c r="H571" i="6"/>
  <c r="T570" i="6"/>
  <c r="H570" i="6"/>
  <c r="T569" i="6" l="1"/>
  <c r="H569" i="6"/>
  <c r="T568" i="6" l="1"/>
  <c r="T567" i="6" l="1"/>
  <c r="H567" i="6"/>
  <c r="T566" i="6"/>
  <c r="H566" i="6"/>
  <c r="T565" i="6" l="1"/>
  <c r="H565" i="6"/>
  <c r="X1146" i="6" l="1"/>
  <c r="T564" i="6"/>
  <c r="H564" i="6"/>
  <c r="X1147" i="6" l="1"/>
  <c r="T563" i="6"/>
  <c r="H563" i="6"/>
  <c r="T562" i="6"/>
  <c r="H562" i="6"/>
  <c r="X1148" i="6" l="1"/>
  <c r="T561" i="6"/>
  <c r="H561" i="6"/>
  <c r="X1149" i="6" l="1"/>
  <c r="T560" i="6"/>
  <c r="H560" i="6"/>
  <c r="X1150" i="6" l="1"/>
  <c r="T559" i="6"/>
  <c r="H559" i="6"/>
  <c r="O558" i="6"/>
  <c r="L558" i="6"/>
  <c r="I558" i="6"/>
  <c r="H558" i="6"/>
  <c r="J558" i="6" s="1"/>
  <c r="G558" i="6"/>
  <c r="X1151" i="6" l="1"/>
  <c r="Q558" i="6"/>
  <c r="M558" i="6"/>
  <c r="K558" i="6"/>
  <c r="I557" i="6"/>
  <c r="H557" i="6"/>
  <c r="G557" i="6"/>
  <c r="X1152" i="6" l="1"/>
  <c r="I556" i="6"/>
  <c r="H556" i="6"/>
  <c r="G556" i="6"/>
  <c r="X1153" i="6" l="1"/>
  <c r="T555" i="6"/>
  <c r="H555" i="6"/>
  <c r="T554" i="6"/>
  <c r="H554" i="6"/>
  <c r="X1154" i="6" l="1"/>
  <c r="T553" i="6"/>
  <c r="H553" i="6"/>
  <c r="X1155" i="6" l="1"/>
  <c r="C552" i="6"/>
  <c r="X1156" i="6" l="1"/>
  <c r="T551" i="6"/>
  <c r="C551" i="6"/>
  <c r="T550" i="6"/>
  <c r="C550" i="6"/>
  <c r="X1157" i="6" l="1"/>
  <c r="H550" i="6"/>
  <c r="H551" i="6"/>
  <c r="T549" i="6"/>
  <c r="X1158" i="6" l="1"/>
  <c r="T548" i="6"/>
  <c r="H548" i="6"/>
  <c r="X1159" i="6" l="1"/>
  <c r="X1160" i="6" l="1"/>
  <c r="X1161" i="6" l="1"/>
  <c r="X1162" i="6" l="1"/>
  <c r="X1163" i="6" l="1"/>
  <c r="X1164" i="6" l="1"/>
  <c r="X1165" i="6" l="1"/>
  <c r="X1166" i="6" l="1"/>
  <c r="T558" i="6"/>
  <c r="X1167" i="6" l="1"/>
  <c r="X1168" i="6" l="1"/>
  <c r="X1169" i="6" l="1"/>
  <c r="X1170" i="6" l="1"/>
  <c r="X1171" i="6" l="1"/>
  <c r="X1172" i="6" l="1"/>
  <c r="X1173" i="6" l="1"/>
  <c r="X1174" i="6" l="1"/>
  <c r="X1175" i="6" l="1"/>
  <c r="X1176" i="6" l="1"/>
  <c r="X1177" i="6" l="1"/>
  <c r="X1178" i="6" l="1"/>
  <c r="X1179" i="6" l="1"/>
  <c r="X1180" i="6" l="1"/>
  <c r="X1181" i="6" l="1"/>
  <c r="X1182" i="6" l="1"/>
  <c r="X1183" i="6" l="1"/>
  <c r="X1184" i="6" l="1"/>
  <c r="X1185" i="6" l="1"/>
  <c r="X1186" i="6" l="1"/>
  <c r="X1187" i="6" l="1"/>
  <c r="X1188" i="6" l="1"/>
  <c r="X1189" i="6" l="1"/>
  <c r="X1190" i="6" l="1"/>
  <c r="X1191" i="6" l="1"/>
  <c r="X1192" i="6" l="1"/>
  <c r="X1193" i="6" l="1"/>
  <c r="X1194" i="6" l="1"/>
  <c r="X1195" i="6" l="1"/>
  <c r="X1196" i="6" l="1"/>
  <c r="X1197" i="6" l="1"/>
  <c r="T547" i="6" l="1"/>
  <c r="H547" i="6"/>
  <c r="T546" i="6"/>
  <c r="H546" i="6"/>
  <c r="T545" i="6" l="1"/>
  <c r="H545" i="6"/>
  <c r="T544" i="6" l="1"/>
  <c r="H544" i="6"/>
  <c r="T543" i="6" l="1"/>
  <c r="H543" i="6"/>
  <c r="T542" i="6"/>
  <c r="H542" i="6"/>
  <c r="T541" i="6" l="1"/>
  <c r="H541" i="6"/>
  <c r="T540" i="6" l="1"/>
  <c r="H540" i="6"/>
  <c r="T539" i="6" l="1"/>
  <c r="H539" i="6"/>
  <c r="T538" i="6"/>
  <c r="H538" i="6"/>
  <c r="T537" i="6" l="1"/>
  <c r="H537" i="6"/>
  <c r="T536" i="6" l="1"/>
  <c r="H536" i="6"/>
  <c r="T535" i="6" l="1"/>
  <c r="H535" i="6"/>
  <c r="T534" i="6"/>
  <c r="H534" i="6"/>
  <c r="T533" i="6" l="1"/>
  <c r="H533" i="6"/>
  <c r="T532" i="6" l="1"/>
  <c r="H532" i="6"/>
  <c r="I531" i="6" l="1"/>
  <c r="H531" i="6"/>
  <c r="I530" i="6"/>
  <c r="H530" i="6"/>
  <c r="T529" i="6" l="1"/>
  <c r="H529" i="6"/>
  <c r="T528" i="6" l="1"/>
  <c r="H528" i="6"/>
  <c r="T527" i="6" l="1"/>
  <c r="H527" i="6"/>
  <c r="C526" i="6"/>
  <c r="T525" i="6" l="1"/>
  <c r="C525" i="6"/>
  <c r="H525" i="6" l="1"/>
  <c r="T524" i="6" l="1"/>
  <c r="C524" i="6"/>
  <c r="H524" i="6" l="1"/>
  <c r="T523" i="6"/>
  <c r="T522" i="6" l="1"/>
  <c r="H522" i="6"/>
  <c r="T521" i="6" l="1"/>
  <c r="H521" i="6"/>
  <c r="T520" i="6"/>
  <c r="H520" i="6"/>
  <c r="T519" i="6"/>
  <c r="H519" i="6"/>
  <c r="T518" i="6"/>
  <c r="H518" i="6"/>
  <c r="T517" i="6"/>
  <c r="H517" i="6"/>
  <c r="T516" i="6"/>
  <c r="H516" i="6"/>
  <c r="T515" i="6"/>
  <c r="H515" i="6"/>
  <c r="T514" i="6"/>
  <c r="H514" i="6"/>
  <c r="T513" i="6"/>
  <c r="H513" i="6"/>
  <c r="T512" i="6"/>
  <c r="H512" i="6"/>
  <c r="T511" i="6"/>
  <c r="H511" i="6"/>
  <c r="T510" i="6"/>
  <c r="H510" i="6"/>
  <c r="T509" i="6"/>
  <c r="H509" i="6"/>
  <c r="T508" i="6"/>
  <c r="H508" i="6"/>
  <c r="O507" i="6"/>
  <c r="L507" i="6"/>
  <c r="I507" i="6"/>
  <c r="H507" i="6"/>
  <c r="I506" i="6"/>
  <c r="H506" i="6"/>
  <c r="G506" i="6"/>
  <c r="I505" i="6"/>
  <c r="H505" i="6"/>
  <c r="O504" i="6"/>
  <c r="L504" i="6"/>
  <c r="I504" i="6"/>
  <c r="H504" i="6"/>
  <c r="Q504" i="6" s="1"/>
  <c r="G504" i="6"/>
  <c r="T503" i="6"/>
  <c r="H503" i="6"/>
  <c r="T502" i="6"/>
  <c r="H502" i="6"/>
  <c r="T501" i="6"/>
  <c r="H501" i="6"/>
  <c r="C500" i="6"/>
  <c r="T499" i="6"/>
  <c r="C499" i="6"/>
  <c r="T498" i="6"/>
  <c r="C498" i="6"/>
  <c r="T497" i="6"/>
  <c r="T496" i="6"/>
  <c r="H496" i="6"/>
  <c r="M507" i="6" l="1"/>
  <c r="J504" i="6"/>
  <c r="K504" i="6" s="1"/>
  <c r="G507" i="6"/>
  <c r="J507" i="6"/>
  <c r="Q507" i="6"/>
  <c r="H498" i="6"/>
  <c r="H499" i="6"/>
  <c r="M504" i="6"/>
  <c r="K507" i="6" l="1"/>
  <c r="T504" i="6" l="1"/>
  <c r="T507" i="6" l="1"/>
  <c r="X1198" i="6" l="1"/>
  <c r="X1199" i="6" l="1"/>
  <c r="X1200" i="6" l="1"/>
  <c r="X1201" i="6" l="1"/>
  <c r="X1202" i="6" l="1"/>
  <c r="X1203" i="6" l="1"/>
  <c r="X1204" i="6" l="1"/>
  <c r="X1205" i="6" l="1"/>
  <c r="X1206" i="6" l="1"/>
  <c r="X1207" i="6" l="1"/>
  <c r="X1208" i="6" l="1"/>
  <c r="X1209" i="6" l="1"/>
  <c r="X1210" i="6" l="1"/>
  <c r="X1211" i="6" l="1"/>
  <c r="X1212" i="6" l="1"/>
  <c r="X1213" i="6" l="1"/>
  <c r="X1214" i="6" l="1"/>
  <c r="X1215" i="6" l="1"/>
  <c r="X1216" i="6" l="1"/>
  <c r="X1217" i="6" l="1"/>
  <c r="X1218" i="6" l="1"/>
  <c r="X1219" i="6" l="1"/>
  <c r="X1220" i="6" l="1"/>
  <c r="X1221" i="6" l="1"/>
  <c r="X1222" i="6" l="1"/>
  <c r="X1223" i="6" l="1"/>
  <c r="X1224" i="6" l="1"/>
  <c r="X1225" i="6" l="1"/>
  <c r="X1226" i="6" l="1"/>
  <c r="X1227" i="6" l="1"/>
  <c r="X1228" i="6" l="1"/>
  <c r="X1229" i="6" l="1"/>
  <c r="X1230" i="6" l="1"/>
  <c r="X1231" i="6" l="1"/>
  <c r="X1232" i="6" l="1"/>
  <c r="X1233" i="6" l="1"/>
  <c r="X1234" i="6" l="1"/>
  <c r="X1235" i="6" l="1"/>
  <c r="X1236" i="6" l="1"/>
  <c r="X1237" i="6" l="1"/>
  <c r="X1238" i="6" l="1"/>
  <c r="X1239" i="6" l="1"/>
  <c r="X1240" i="6" l="1"/>
  <c r="X1241" i="6" l="1"/>
  <c r="X1242" i="6" l="1"/>
  <c r="X1243" i="6" l="1"/>
  <c r="X1244" i="6" l="1"/>
  <c r="X1245" i="6" l="1"/>
  <c r="X1246" i="6" l="1"/>
  <c r="X1247" i="6" l="1"/>
  <c r="X1248" i="6" l="1"/>
  <c r="X1249" i="6" l="1"/>
  <c r="T495" i="6" l="1"/>
  <c r="H495" i="6"/>
  <c r="T494" i="6" l="1"/>
  <c r="H494" i="6"/>
  <c r="T493" i="6" l="1"/>
  <c r="H493" i="6"/>
  <c r="T492" i="6"/>
  <c r="H492" i="6"/>
  <c r="T491" i="6" l="1"/>
  <c r="H491" i="6"/>
  <c r="T490" i="6" l="1"/>
  <c r="H490" i="6"/>
  <c r="T489" i="6" l="1"/>
  <c r="H489" i="6"/>
  <c r="T488" i="6"/>
  <c r="H488" i="6"/>
  <c r="T487" i="6" l="1"/>
  <c r="H487" i="6"/>
  <c r="T486" i="6" l="1"/>
  <c r="H486" i="6"/>
  <c r="T485" i="6" l="1"/>
  <c r="H485" i="6"/>
  <c r="T484" i="6"/>
  <c r="H484" i="6"/>
  <c r="T483" i="6" l="1"/>
  <c r="H483" i="6"/>
  <c r="T482" i="6" l="1"/>
  <c r="H482" i="6"/>
  <c r="T481" i="6" l="1"/>
  <c r="H481" i="6"/>
  <c r="T480" i="6"/>
  <c r="H480" i="6"/>
  <c r="Q479" i="6" l="1"/>
  <c r="O479" i="6"/>
  <c r="L479" i="6"/>
  <c r="J479" i="6"/>
  <c r="I479" i="6"/>
  <c r="H479" i="6"/>
  <c r="K479" i="6" l="1"/>
  <c r="M479" i="6"/>
  <c r="O478" i="6" l="1"/>
  <c r="O492" i="6" s="1"/>
  <c r="L478" i="6"/>
  <c r="I478" i="6"/>
  <c r="H478" i="6"/>
  <c r="Q478" i="6" s="1"/>
  <c r="M478" i="6" l="1"/>
  <c r="M492" i="6" s="1"/>
  <c r="T477" i="6"/>
  <c r="H477" i="6"/>
  <c r="T476" i="6"/>
  <c r="H476" i="6"/>
  <c r="T475" i="6" l="1"/>
  <c r="H475" i="6"/>
  <c r="C474" i="6" l="1"/>
  <c r="T473" i="6" l="1"/>
  <c r="C473" i="6"/>
  <c r="T472" i="6"/>
  <c r="C472" i="6"/>
  <c r="H472" i="6" l="1"/>
  <c r="H473" i="6"/>
  <c r="T471" i="6"/>
  <c r="T470" i="6" l="1"/>
  <c r="H470" i="6"/>
  <c r="T478" i="6" l="1"/>
  <c r="T479" i="6" l="1"/>
  <c r="T469" i="6" l="1"/>
  <c r="H469" i="6"/>
  <c r="T468" i="6" l="1"/>
  <c r="H468" i="6"/>
  <c r="T467" i="6" l="1"/>
  <c r="H467" i="6"/>
  <c r="T466" i="6"/>
  <c r="H466" i="6"/>
  <c r="T465" i="6" l="1"/>
  <c r="H465" i="6"/>
  <c r="T464" i="6" l="1"/>
  <c r="H464" i="6"/>
  <c r="T463" i="6" l="1"/>
  <c r="H463" i="6"/>
  <c r="T462" i="6"/>
  <c r="H462" i="6"/>
  <c r="T461" i="6" l="1"/>
  <c r="O461" i="6"/>
  <c r="M461" i="6"/>
  <c r="H461" i="6"/>
  <c r="Q460" i="6" l="1"/>
  <c r="O460" i="6"/>
  <c r="L460" i="6"/>
  <c r="J460" i="6"/>
  <c r="I460" i="6"/>
  <c r="H460" i="6"/>
  <c r="G460" i="6"/>
  <c r="K460" i="6" l="1"/>
  <c r="M460" i="6"/>
  <c r="Q459" i="6"/>
  <c r="O459" i="6"/>
  <c r="L459" i="6"/>
  <c r="J459" i="6"/>
  <c r="I459" i="6"/>
  <c r="H459" i="6"/>
  <c r="G459" i="6"/>
  <c r="Q458" i="6"/>
  <c r="O458" i="6"/>
  <c r="L458" i="6"/>
  <c r="J458" i="6"/>
  <c r="I458" i="6"/>
  <c r="H458" i="6"/>
  <c r="G458" i="6"/>
  <c r="K459" i="6" l="1"/>
  <c r="K458" i="6"/>
  <c r="M458" i="6"/>
  <c r="M459" i="6"/>
  <c r="Q457" i="6"/>
  <c r="O457" i="6"/>
  <c r="L457" i="6"/>
  <c r="J457" i="6"/>
  <c r="I457" i="6"/>
  <c r="H457" i="6"/>
  <c r="G457" i="6"/>
  <c r="K457" i="6" l="1"/>
  <c r="M457" i="6"/>
  <c r="J461" i="6" s="1"/>
  <c r="K461" i="6" s="1"/>
  <c r="L456" i="6" l="1"/>
  <c r="K456" i="6"/>
  <c r="I456" i="6"/>
  <c r="H456" i="6"/>
  <c r="N456" i="6" s="1"/>
  <c r="G456" i="6"/>
  <c r="M456" i="6" l="1"/>
  <c r="Q456" i="6"/>
  <c r="O456" i="6" s="1"/>
  <c r="L455" i="6"/>
  <c r="K455" i="6"/>
  <c r="H455" i="6"/>
  <c r="Q455" i="6" s="1"/>
  <c r="G455" i="6"/>
  <c r="O454" i="6"/>
  <c r="L454" i="6"/>
  <c r="I454" i="6"/>
  <c r="H454" i="6"/>
  <c r="Q454" i="6" s="1"/>
  <c r="G454" i="6"/>
  <c r="N455" i="6" l="1"/>
  <c r="M455" i="6" s="1"/>
  <c r="J454" i="6"/>
  <c r="K454" i="6" s="1"/>
  <c r="M454" i="6"/>
  <c r="O453" i="6"/>
  <c r="L453" i="6"/>
  <c r="I453" i="6"/>
  <c r="H453" i="6"/>
  <c r="Q453" i="6" s="1"/>
  <c r="G453" i="6"/>
  <c r="O455" i="6" l="1"/>
  <c r="J453" i="6"/>
  <c r="K453" i="6" s="1"/>
  <c r="M453" i="6"/>
  <c r="O452" i="6" l="1"/>
  <c r="O467" i="6" s="1"/>
  <c r="O466" i="6" s="1"/>
  <c r="L452" i="6"/>
  <c r="I452" i="6"/>
  <c r="H452" i="6"/>
  <c r="Q452" i="6" s="1"/>
  <c r="G452" i="6"/>
  <c r="J452" i="6" l="1"/>
  <c r="K452" i="6" s="1"/>
  <c r="M452" i="6"/>
  <c r="M467" i="6" s="1"/>
  <c r="T451" i="6"/>
  <c r="H451" i="6"/>
  <c r="T450" i="6"/>
  <c r="H450" i="6"/>
  <c r="K467" i="6" l="1"/>
  <c r="M466" i="6"/>
  <c r="T449" i="6"/>
  <c r="H449" i="6"/>
  <c r="K466" i="6" l="1"/>
  <c r="C448" i="6" l="1"/>
  <c r="T447" i="6" l="1"/>
  <c r="C447" i="6"/>
  <c r="T446" i="6"/>
  <c r="C446" i="6"/>
  <c r="H447" i="6" l="1"/>
  <c r="H446" i="6"/>
  <c r="T445" i="6"/>
  <c r="T444" i="6" l="1"/>
  <c r="H444" i="6"/>
  <c r="T452" i="6" l="1"/>
  <c r="T453" i="6" l="1"/>
  <c r="T454" i="6" l="1"/>
  <c r="T455" i="6" l="1"/>
  <c r="T456" i="6" l="1"/>
  <c r="T457" i="6" l="1"/>
  <c r="T458" i="6" l="1"/>
  <c r="T459" i="6" l="1"/>
  <c r="T460" i="6" l="1"/>
  <c r="T443" i="6" l="1"/>
  <c r="H443" i="6"/>
  <c r="T442" i="6"/>
  <c r="H442" i="6"/>
  <c r="T441" i="6" l="1"/>
  <c r="H441" i="6"/>
  <c r="T440" i="6" l="1"/>
  <c r="H440" i="6"/>
  <c r="T439" i="6" l="1"/>
  <c r="H439" i="6"/>
  <c r="T438" i="6"/>
  <c r="H438" i="6"/>
  <c r="T437" i="6" l="1"/>
  <c r="H437" i="6"/>
  <c r="T436" i="6" l="1"/>
  <c r="H436" i="6"/>
  <c r="T435" i="6" l="1"/>
  <c r="O435" i="6"/>
  <c r="M435" i="6"/>
  <c r="H435" i="6"/>
  <c r="Q434" i="6"/>
  <c r="O434" i="6"/>
  <c r="L434" i="6"/>
  <c r="J434" i="6"/>
  <c r="I434" i="6"/>
  <c r="H434" i="6"/>
  <c r="G434" i="6"/>
  <c r="K434" i="6" l="1"/>
  <c r="M434" i="6"/>
  <c r="Q433" i="6"/>
  <c r="O433" i="6"/>
  <c r="L433" i="6"/>
  <c r="J433" i="6"/>
  <c r="I433" i="6"/>
  <c r="H433" i="6"/>
  <c r="G433" i="6"/>
  <c r="M433" i="6" l="1"/>
  <c r="K433" i="6"/>
  <c r="Q432" i="6" l="1"/>
  <c r="O432" i="6"/>
  <c r="L432" i="6"/>
  <c r="J432" i="6"/>
  <c r="I432" i="6"/>
  <c r="H432" i="6"/>
  <c r="G432" i="6"/>
  <c r="K432" i="6" l="1"/>
  <c r="M432" i="6"/>
  <c r="Q431" i="6"/>
  <c r="O431" i="6"/>
  <c r="L431" i="6"/>
  <c r="J431" i="6"/>
  <c r="I431" i="6"/>
  <c r="H431" i="6"/>
  <c r="G431" i="6"/>
  <c r="K431" i="6" l="1"/>
  <c r="M431" i="6"/>
  <c r="J435" i="6" s="1"/>
  <c r="K435" i="6" s="1"/>
  <c r="L430" i="6"/>
  <c r="K430" i="6"/>
  <c r="I430" i="6"/>
  <c r="H430" i="6"/>
  <c r="N430" i="6" s="1"/>
  <c r="G430" i="6"/>
  <c r="M430" i="6" l="1"/>
  <c r="Q430" i="6"/>
  <c r="O430" i="6"/>
  <c r="L429" i="6"/>
  <c r="K429" i="6"/>
  <c r="H429" i="6"/>
  <c r="N429" i="6" s="1"/>
  <c r="G429" i="6"/>
  <c r="M429" i="6" l="1"/>
  <c r="Q429" i="6"/>
  <c r="O429" i="6" s="1"/>
  <c r="O428" i="6" l="1"/>
  <c r="L428" i="6"/>
  <c r="I428" i="6"/>
  <c r="H428" i="6"/>
  <c r="Q428" i="6" s="1"/>
  <c r="G428" i="6"/>
  <c r="J428" i="6" l="1"/>
  <c r="K428" i="6" s="1"/>
  <c r="M428" i="6"/>
  <c r="O427" i="6"/>
  <c r="L427" i="6"/>
  <c r="I427" i="6"/>
  <c r="H427" i="6"/>
  <c r="J427" i="6" s="1"/>
  <c r="G427" i="6"/>
  <c r="Q427" i="6" l="1"/>
  <c r="K427" i="6"/>
  <c r="M427" i="6"/>
  <c r="O426" i="6"/>
  <c r="O441" i="6" s="1"/>
  <c r="O440" i="6" s="1"/>
  <c r="L426" i="6"/>
  <c r="I426" i="6"/>
  <c r="H426" i="6"/>
  <c r="Q426" i="6" s="1"/>
  <c r="G426" i="6"/>
  <c r="J426" i="6" l="1"/>
  <c r="K426" i="6" s="1"/>
  <c r="M426" i="6"/>
  <c r="M441" i="6" s="1"/>
  <c r="T425" i="6"/>
  <c r="H425" i="6"/>
  <c r="K441" i="6" l="1"/>
  <c r="M440" i="6"/>
  <c r="K440" i="6" l="1"/>
  <c r="T424" i="6"/>
  <c r="H424" i="6"/>
  <c r="T423" i="6" l="1"/>
  <c r="H423" i="6"/>
  <c r="C422" i="6"/>
  <c r="T421" i="6" l="1"/>
  <c r="C421" i="6"/>
  <c r="H421" i="6" l="1"/>
  <c r="T420" i="6" l="1"/>
  <c r="C420" i="6"/>
  <c r="H420" i="6" l="1"/>
  <c r="T419" i="6"/>
  <c r="T418" i="6"/>
  <c r="H418" i="6"/>
  <c r="T417" i="6" l="1"/>
  <c r="H417" i="6"/>
  <c r="T416" i="6" l="1"/>
  <c r="H416" i="6"/>
  <c r="T415" i="6" l="1"/>
  <c r="H415" i="6"/>
  <c r="T414" i="6"/>
  <c r="H414" i="6"/>
  <c r="T413" i="6" l="1"/>
  <c r="H413" i="6"/>
  <c r="T412" i="6" l="1"/>
  <c r="H412" i="6"/>
  <c r="T411" i="6" l="1"/>
  <c r="H411" i="6"/>
  <c r="T410" i="6"/>
  <c r="H410" i="6"/>
  <c r="T426" i="6" l="1"/>
  <c r="T409" i="6"/>
  <c r="O409" i="6"/>
  <c r="M409" i="6"/>
  <c r="H409" i="6"/>
  <c r="T427" i="6" l="1"/>
  <c r="T428" i="6" l="1"/>
  <c r="Q408" i="6"/>
  <c r="O408" i="6"/>
  <c r="L408" i="6"/>
  <c r="J408" i="6"/>
  <c r="I408" i="6"/>
  <c r="H408" i="6"/>
  <c r="G408" i="6"/>
  <c r="K408" i="6" l="1"/>
  <c r="M408" i="6"/>
  <c r="T429" i="6"/>
  <c r="Q407" i="6"/>
  <c r="O407" i="6"/>
  <c r="L407" i="6"/>
  <c r="J407" i="6"/>
  <c r="I407" i="6"/>
  <c r="H407" i="6"/>
  <c r="G407" i="6"/>
  <c r="Q406" i="6"/>
  <c r="O406" i="6"/>
  <c r="L406" i="6"/>
  <c r="J406" i="6"/>
  <c r="I406" i="6"/>
  <c r="H406" i="6"/>
  <c r="G406" i="6"/>
  <c r="K406" i="6" l="1"/>
  <c r="K407" i="6"/>
  <c r="T430" i="6"/>
  <c r="M406" i="6"/>
  <c r="M407" i="6"/>
  <c r="Q405" i="6"/>
  <c r="O405" i="6"/>
  <c r="L405" i="6"/>
  <c r="J405" i="6"/>
  <c r="I405" i="6"/>
  <c r="H405" i="6"/>
  <c r="G405" i="6"/>
  <c r="K405" i="6" l="1"/>
  <c r="M405" i="6"/>
  <c r="J409" i="6" s="1"/>
  <c r="K409" i="6" s="1"/>
  <c r="T431" i="6"/>
  <c r="T432" i="6" l="1"/>
  <c r="L404" i="6"/>
  <c r="K404" i="6"/>
  <c r="I404" i="6"/>
  <c r="H404" i="6"/>
  <c r="N404" i="6" s="1"/>
  <c r="G404" i="6"/>
  <c r="M404" i="6" l="1"/>
  <c r="Q404" i="6"/>
  <c r="T433" i="6"/>
  <c r="O404" i="6"/>
  <c r="L403" i="6"/>
  <c r="K403" i="6"/>
  <c r="H403" i="6"/>
  <c r="Q403" i="6" s="1"/>
  <c r="G403" i="6"/>
  <c r="O402" i="6"/>
  <c r="L402" i="6"/>
  <c r="I402" i="6"/>
  <c r="H402" i="6"/>
  <c r="Q402" i="6" s="1"/>
  <c r="G402" i="6"/>
  <c r="M402" i="6" l="1"/>
  <c r="N403" i="6"/>
  <c r="M403" i="6" s="1"/>
  <c r="J402" i="6"/>
  <c r="K402" i="6" s="1"/>
  <c r="T434" i="6"/>
  <c r="O401" i="6"/>
  <c r="L401" i="6"/>
  <c r="I401" i="6"/>
  <c r="H401" i="6"/>
  <c r="Q401" i="6" s="1"/>
  <c r="G401" i="6"/>
  <c r="J401" i="6" l="1"/>
  <c r="K401" i="6" s="1"/>
  <c r="O403" i="6"/>
  <c r="M401" i="6"/>
  <c r="O400" i="6" l="1"/>
  <c r="O415" i="6" s="1"/>
  <c r="O414" i="6" s="1"/>
  <c r="L400" i="6"/>
  <c r="I400" i="6"/>
  <c r="H400" i="6"/>
  <c r="Q400" i="6" s="1"/>
  <c r="G400" i="6"/>
  <c r="J400" i="6" l="1"/>
  <c r="K400" i="6" s="1"/>
  <c r="M400" i="6"/>
  <c r="M415" i="6" s="1"/>
  <c r="T399" i="6"/>
  <c r="H399" i="6"/>
  <c r="T398" i="6"/>
  <c r="H398" i="6"/>
  <c r="K415" i="6" l="1"/>
  <c r="M414" i="6"/>
  <c r="T397" i="6"/>
  <c r="H397" i="6"/>
  <c r="K414" i="6" l="1"/>
  <c r="C396" i="6" l="1"/>
  <c r="T395" i="6" l="1"/>
  <c r="C395" i="6"/>
  <c r="T394" i="6"/>
  <c r="C394" i="6"/>
  <c r="H395" i="6" l="1"/>
  <c r="H394" i="6"/>
  <c r="T393" i="6"/>
  <c r="T392" i="6" l="1"/>
  <c r="H392" i="6"/>
  <c r="T400" i="6" l="1"/>
  <c r="T401" i="6" l="1"/>
  <c r="T402" i="6" l="1"/>
  <c r="T403" i="6" l="1"/>
  <c r="T404" i="6" l="1"/>
  <c r="T405" i="6" l="1"/>
  <c r="T406" i="6" l="1"/>
  <c r="T407" i="6" l="1"/>
  <c r="T408" i="6" l="1"/>
  <c r="T391" i="6" l="1"/>
  <c r="H391" i="6"/>
  <c r="T390" i="6" l="1"/>
  <c r="H390" i="6" l="1"/>
  <c r="Q389" i="6" l="1"/>
  <c r="O389" i="6"/>
  <c r="L389" i="6"/>
  <c r="J389" i="6"/>
  <c r="I389" i="6"/>
  <c r="H389" i="6"/>
  <c r="Q388" i="6"/>
  <c r="O388" i="6"/>
  <c r="L388" i="6"/>
  <c r="J388" i="6"/>
  <c r="I388" i="6"/>
  <c r="W366" i="6" s="1"/>
  <c r="W367" i="6" s="1"/>
  <c r="W368" i="6" s="1"/>
  <c r="W369" i="6" s="1"/>
  <c r="W370" i="6" s="1"/>
  <c r="W371" i="6" s="1"/>
  <c r="W372" i="6" s="1"/>
  <c r="W373" i="6" s="1"/>
  <c r="W374" i="6" s="1"/>
  <c r="W375" i="6" s="1"/>
  <c r="W376" i="6" s="1"/>
  <c r="W377" i="6" s="1"/>
  <c r="W378" i="6" s="1"/>
  <c r="W379" i="6" s="1"/>
  <c r="W380" i="6" s="1"/>
  <c r="W381" i="6" s="1"/>
  <c r="W382" i="6" s="1"/>
  <c r="W383" i="6" s="1"/>
  <c r="W384" i="6" s="1"/>
  <c r="W385" i="6" s="1"/>
  <c r="W386" i="6" s="1"/>
  <c r="W387" i="6" s="1"/>
  <c r="W388" i="6" s="1"/>
  <c r="W389" i="6" s="1"/>
  <c r="W390" i="6" s="1"/>
  <c r="W391" i="6" s="1"/>
  <c r="H388" i="6"/>
  <c r="K388" i="6" l="1"/>
  <c r="K389" i="6"/>
  <c r="M389" i="6"/>
  <c r="M388" i="6"/>
  <c r="T389" i="6"/>
  <c r="T388" i="6"/>
  <c r="O387" i="6"/>
  <c r="L387" i="6"/>
  <c r="I387" i="6"/>
  <c r="H387" i="6"/>
  <c r="Q387" i="6" s="1"/>
  <c r="M387" i="6" l="1"/>
  <c r="J387" i="6"/>
  <c r="K387" i="6" s="1"/>
  <c r="T387" i="6"/>
  <c r="O386" i="6" l="1"/>
  <c r="L386" i="6"/>
  <c r="I386" i="6"/>
  <c r="H386" i="6"/>
  <c r="Q386" i="6" s="1"/>
  <c r="J386" i="6" l="1"/>
  <c r="K386" i="6" s="1"/>
  <c r="M386" i="6"/>
  <c r="T386" i="6"/>
  <c r="O385" i="6"/>
  <c r="L385" i="6"/>
  <c r="I385" i="6"/>
  <c r="H385" i="6"/>
  <c r="Q385" i="6" s="1"/>
  <c r="J385" i="6" l="1"/>
  <c r="K385" i="6" s="1"/>
  <c r="T385" i="6"/>
  <c r="M385" i="6"/>
  <c r="O384" i="6"/>
  <c r="L384" i="6"/>
  <c r="I384" i="6"/>
  <c r="H384" i="6"/>
  <c r="J384" i="6" s="1"/>
  <c r="Q384" i="6" l="1"/>
  <c r="T384" i="6" s="1"/>
  <c r="M384" i="6"/>
  <c r="K384" i="6"/>
  <c r="T383" i="6"/>
  <c r="L383" i="6"/>
  <c r="Q382" i="6" l="1"/>
  <c r="O382" i="6"/>
  <c r="L382" i="6"/>
  <c r="J382" i="6"/>
  <c r="I382" i="6"/>
  <c r="H382" i="6"/>
  <c r="M382" i="6" l="1"/>
  <c r="K382" i="6"/>
  <c r="I383" i="6"/>
  <c r="T382" i="6"/>
  <c r="Q381" i="6"/>
  <c r="O381" i="6"/>
  <c r="L381" i="6"/>
  <c r="J381" i="6"/>
  <c r="I381" i="6"/>
  <c r="H381" i="6"/>
  <c r="O380" i="6"/>
  <c r="L380" i="6"/>
  <c r="I380" i="6"/>
  <c r="H380" i="6"/>
  <c r="Q380" i="6" s="1"/>
  <c r="K381" i="6" l="1"/>
  <c r="M380" i="6"/>
  <c r="J380" i="6"/>
  <c r="K380" i="6" s="1"/>
  <c r="T380" i="6"/>
  <c r="T381" i="6"/>
  <c r="M381" i="6"/>
  <c r="O379" i="6"/>
  <c r="L379" i="6"/>
  <c r="I379" i="6"/>
  <c r="H379" i="6"/>
  <c r="Q379" i="6" s="1"/>
  <c r="M379" i="6" l="1"/>
  <c r="J379" i="6"/>
  <c r="K379" i="6" s="1"/>
  <c r="T379" i="6"/>
  <c r="T378" i="6" l="1"/>
  <c r="L378" i="6"/>
  <c r="Q377" i="6" l="1"/>
  <c r="O377" i="6"/>
  <c r="L377" i="6"/>
  <c r="J377" i="6"/>
  <c r="I377" i="6"/>
  <c r="H377" i="6"/>
  <c r="Q376" i="6"/>
  <c r="O376" i="6"/>
  <c r="L376" i="6"/>
  <c r="J376" i="6"/>
  <c r="I376" i="6"/>
  <c r="H376" i="6"/>
  <c r="K376" i="6" l="1"/>
  <c r="K377" i="6"/>
  <c r="I378" i="6"/>
  <c r="T377" i="6"/>
  <c r="T376" i="6"/>
  <c r="M376" i="6"/>
  <c r="M377" i="6"/>
  <c r="O375" i="6"/>
  <c r="L375" i="6"/>
  <c r="I375" i="6"/>
  <c r="H375" i="6"/>
  <c r="J375" i="6" s="1"/>
  <c r="J378" i="6" l="1"/>
  <c r="K378" i="6" s="1"/>
  <c r="Q375" i="6"/>
  <c r="T375" i="6" s="1"/>
  <c r="K375" i="6"/>
  <c r="M375" i="6"/>
  <c r="O374" i="6" l="1"/>
  <c r="O390" i="6" s="1"/>
  <c r="L374" i="6"/>
  <c r="I374" i="6"/>
  <c r="H374" i="6"/>
  <c r="J374" i="6" s="1"/>
  <c r="Q374" i="6" l="1"/>
  <c r="T374" i="6" s="1"/>
  <c r="M374" i="6"/>
  <c r="K374" i="6"/>
  <c r="T373" i="6"/>
  <c r="H373" i="6"/>
  <c r="T372" i="6"/>
  <c r="H372" i="6"/>
  <c r="T371" i="6" l="1"/>
  <c r="H371" i="6"/>
  <c r="C370" i="6" l="1"/>
  <c r="T369" i="6" l="1"/>
  <c r="C369" i="6"/>
  <c r="T368" i="6"/>
  <c r="C368" i="6"/>
  <c r="H368" i="6" l="1"/>
  <c r="H369" i="6"/>
  <c r="T367" i="6"/>
  <c r="D367" i="6"/>
  <c r="T366" i="6" l="1"/>
  <c r="H366" i="6"/>
  <c r="T339" i="6" l="1"/>
  <c r="H339" i="6"/>
  <c r="T338" i="6" l="1"/>
  <c r="H338" i="6"/>
  <c r="T337" i="6" l="1"/>
  <c r="H337" i="6"/>
  <c r="T336" i="6"/>
  <c r="H336" i="6" l="1"/>
  <c r="T335" i="6" l="1"/>
  <c r="H335" i="6"/>
  <c r="T334" i="6" l="1"/>
  <c r="H334" i="6"/>
  <c r="T333" i="6" l="1"/>
  <c r="H333" i="6"/>
  <c r="T332" i="6"/>
  <c r="H332" i="6"/>
  <c r="T331" i="6" l="1"/>
  <c r="H331" i="6"/>
  <c r="T330" i="6" l="1"/>
  <c r="H330" i="6"/>
  <c r="T329" i="6" l="1"/>
  <c r="H329" i="6"/>
  <c r="Q328" i="6" l="1"/>
  <c r="O328" i="6"/>
  <c r="L328" i="6"/>
  <c r="J328" i="6"/>
  <c r="I328" i="6"/>
  <c r="H328" i="6"/>
  <c r="K328" i="6" l="1"/>
  <c r="M328" i="6"/>
  <c r="T327" i="6"/>
  <c r="H327" i="6"/>
  <c r="Q326" i="6" l="1"/>
  <c r="O326" i="6"/>
  <c r="L326" i="6"/>
  <c r="J326" i="6"/>
  <c r="H326" i="6"/>
  <c r="G326" i="6"/>
  <c r="K326" i="6" l="1"/>
  <c r="M326" i="6"/>
  <c r="Q325" i="6"/>
  <c r="O325" i="6"/>
  <c r="L325" i="6"/>
  <c r="J325" i="6"/>
  <c r="I325" i="6"/>
  <c r="H325" i="6"/>
  <c r="G325" i="6"/>
  <c r="T324" i="6"/>
  <c r="O324" i="6"/>
  <c r="L324" i="6"/>
  <c r="I324" i="6"/>
  <c r="H324" i="6"/>
  <c r="K325" i="6" l="1"/>
  <c r="M324" i="6"/>
  <c r="M325" i="6"/>
  <c r="J327" i="6" s="1"/>
  <c r="K327" i="6" s="1"/>
  <c r="O323" i="6"/>
  <c r="L323" i="6"/>
  <c r="I323" i="6"/>
  <c r="H323" i="6"/>
  <c r="Q323" i="6" s="1"/>
  <c r="G323" i="6"/>
  <c r="M323" i="6" l="1"/>
  <c r="J323" i="6"/>
  <c r="K323" i="6" s="1"/>
  <c r="O322" i="6" l="1"/>
  <c r="O336" i="6" s="1"/>
  <c r="L322" i="6"/>
  <c r="I322" i="6"/>
  <c r="H322" i="6"/>
  <c r="J322" i="6" s="1"/>
  <c r="G322" i="6"/>
  <c r="Q322" i="6" l="1"/>
  <c r="M322" i="6"/>
  <c r="M336" i="6" s="1"/>
  <c r="K322" i="6"/>
  <c r="T321" i="6"/>
  <c r="H321" i="6"/>
  <c r="T320" i="6"/>
  <c r="H320" i="6"/>
  <c r="T319" i="6" l="1"/>
  <c r="H319" i="6"/>
  <c r="C318" i="6" l="1"/>
  <c r="T317" i="6" l="1"/>
  <c r="C317" i="6"/>
  <c r="T316" i="6"/>
  <c r="C316" i="6"/>
  <c r="H316" i="6" l="1"/>
  <c r="H317" i="6"/>
  <c r="T315" i="6"/>
  <c r="T314" i="6" l="1"/>
  <c r="H314" i="6"/>
  <c r="T322" i="6" l="1"/>
  <c r="T323" i="6" l="1"/>
  <c r="T325" i="6" l="1"/>
  <c r="T326" i="6" l="1"/>
  <c r="T328" i="6" l="1"/>
  <c r="T313" i="6" l="1"/>
  <c r="H313" i="6"/>
  <c r="T312" i="6"/>
  <c r="H312" i="6"/>
  <c r="T311" i="6" l="1"/>
  <c r="H311" i="6"/>
  <c r="T310" i="6" l="1"/>
  <c r="H310" i="6"/>
  <c r="T309" i="6" l="1"/>
  <c r="H309" i="6"/>
  <c r="T308" i="6"/>
  <c r="H308" i="6"/>
  <c r="T307" i="6" l="1"/>
  <c r="H307" i="6"/>
  <c r="T306" i="6" l="1"/>
  <c r="H306" i="6"/>
  <c r="T305" i="6" l="1"/>
  <c r="H305" i="6"/>
  <c r="T304" i="6"/>
  <c r="H304" i="6"/>
  <c r="T303" i="6" l="1"/>
  <c r="H303" i="6"/>
  <c r="T302" i="6" l="1"/>
  <c r="T301" i="6" l="1"/>
  <c r="H301" i="6"/>
  <c r="Q300" i="6"/>
  <c r="O300" i="6"/>
  <c r="L300" i="6"/>
  <c r="J300" i="6"/>
  <c r="H300" i="6"/>
  <c r="G300" i="6"/>
  <c r="K300" i="6" l="1"/>
  <c r="M300" i="6"/>
  <c r="Q299" i="6"/>
  <c r="O299" i="6"/>
  <c r="L299" i="6"/>
  <c r="J299" i="6"/>
  <c r="I299" i="6"/>
  <c r="H299" i="6"/>
  <c r="G299" i="6"/>
  <c r="K299" i="6" l="1"/>
  <c r="M299" i="6"/>
  <c r="J301" i="6" s="1"/>
  <c r="K301" i="6" s="1"/>
  <c r="T298" i="6" l="1"/>
  <c r="O298" i="6"/>
  <c r="L298" i="6"/>
  <c r="I298" i="6"/>
  <c r="H298" i="6"/>
  <c r="M298" i="6" l="1"/>
  <c r="O297" i="6"/>
  <c r="L297" i="6"/>
  <c r="I297" i="6"/>
  <c r="H297" i="6"/>
  <c r="Q297" i="6" s="1"/>
  <c r="G297" i="6"/>
  <c r="O296" i="6"/>
  <c r="L296" i="6"/>
  <c r="I296" i="6"/>
  <c r="H296" i="6"/>
  <c r="Q296" i="6" s="1"/>
  <c r="G296" i="6"/>
  <c r="J296" i="6" l="1"/>
  <c r="K296" i="6" s="1"/>
  <c r="O310" i="6"/>
  <c r="J297" i="6"/>
  <c r="K297" i="6" s="1"/>
  <c r="M296" i="6"/>
  <c r="M297" i="6"/>
  <c r="T295" i="6"/>
  <c r="H295" i="6"/>
  <c r="M310" i="6" l="1"/>
  <c r="T294" i="6"/>
  <c r="H294" i="6"/>
  <c r="T293" i="6" l="1"/>
  <c r="H293" i="6"/>
  <c r="C292" i="6"/>
  <c r="T291" i="6" l="1"/>
  <c r="C291" i="6"/>
  <c r="H291" i="6" l="1"/>
  <c r="T290" i="6" l="1"/>
  <c r="C290" i="6"/>
  <c r="H290" i="6" l="1"/>
  <c r="T289" i="6"/>
  <c r="T288" i="6" l="1"/>
  <c r="H288" i="6"/>
  <c r="T296" i="6" l="1"/>
  <c r="T297" i="6" l="1"/>
  <c r="T299" i="6" l="1"/>
  <c r="T300" i="6" l="1"/>
  <c r="T287" i="6" l="1"/>
  <c r="H287" i="6"/>
  <c r="T286" i="6"/>
  <c r="H286" i="6"/>
  <c r="T285" i="6" l="1"/>
  <c r="H285" i="6"/>
  <c r="T284" i="6" l="1"/>
  <c r="H284" i="6"/>
  <c r="T283" i="6" l="1"/>
  <c r="H283" i="6"/>
  <c r="T282" i="6"/>
  <c r="H282" i="6"/>
  <c r="T281" i="6" l="1"/>
  <c r="H281" i="6"/>
  <c r="T280" i="6" l="1"/>
  <c r="H280" i="6"/>
  <c r="T279" i="6" l="1"/>
  <c r="H279" i="6"/>
  <c r="T278" i="6"/>
  <c r="H278" i="6"/>
  <c r="T277" i="6" l="1"/>
  <c r="H277" i="6"/>
  <c r="T276" i="6" l="1"/>
  <c r="H276" i="6"/>
  <c r="T275" i="6" l="1"/>
  <c r="H275" i="6"/>
  <c r="T274" i="6"/>
  <c r="O274" i="6"/>
  <c r="M274" i="6"/>
  <c r="H274" i="6"/>
  <c r="Q273" i="6" l="1"/>
  <c r="O273" i="6"/>
  <c r="L273" i="6"/>
  <c r="J273" i="6"/>
  <c r="I273" i="6"/>
  <c r="H273" i="6"/>
  <c r="K273" i="6" l="1"/>
  <c r="M273" i="6"/>
  <c r="Q272" i="6" l="1"/>
  <c r="O272" i="6"/>
  <c r="L272" i="6"/>
  <c r="J272" i="6"/>
  <c r="I272" i="6"/>
  <c r="H272" i="6"/>
  <c r="K272" i="6" l="1"/>
  <c r="M272" i="6"/>
  <c r="J274" i="6" s="1"/>
  <c r="K274" i="6" s="1"/>
  <c r="T271" i="6"/>
  <c r="O271" i="6"/>
  <c r="L271" i="6"/>
  <c r="I271" i="6"/>
  <c r="H271" i="6"/>
  <c r="O270" i="6"/>
  <c r="O284" i="6" s="1"/>
  <c r="L270" i="6"/>
  <c r="I270" i="6"/>
  <c r="H270" i="6"/>
  <c r="J270" i="6" s="1"/>
  <c r="G270" i="6"/>
  <c r="Q270" i="6" l="1"/>
  <c r="M270" i="6"/>
  <c r="K270" i="6"/>
  <c r="M271" i="6"/>
  <c r="T269" i="6"/>
  <c r="H269" i="6"/>
  <c r="M284" i="6" l="1"/>
  <c r="T268" i="6" l="1"/>
  <c r="H268" i="6"/>
  <c r="T267" i="6" l="1"/>
  <c r="H267" i="6"/>
  <c r="L266" i="6"/>
  <c r="C266" i="6"/>
  <c r="T265" i="6" l="1"/>
  <c r="C265" i="6"/>
  <c r="H265" i="6" l="1"/>
  <c r="T264" i="6" l="1"/>
  <c r="C264" i="6"/>
  <c r="H264" i="6" l="1"/>
  <c r="T263" i="6"/>
  <c r="T262" i="6" l="1"/>
  <c r="H262" i="6"/>
  <c r="T235" i="6" l="1"/>
  <c r="H235" i="6"/>
  <c r="T234" i="6" l="1"/>
  <c r="H234" i="6"/>
  <c r="T232" i="6" l="1"/>
  <c r="H232" i="6"/>
  <c r="T231" i="6" l="1"/>
  <c r="H231" i="6"/>
  <c r="T270" i="6" l="1"/>
  <c r="T272" i="6" l="1"/>
  <c r="T273" i="6" l="1"/>
  <c r="O232" i="6" l="1"/>
  <c r="T217" i="6"/>
  <c r="H217" i="6"/>
  <c r="M232" i="6" l="1"/>
  <c r="T216" i="6"/>
  <c r="H216" i="6"/>
  <c r="T215" i="6" l="1"/>
  <c r="H215" i="6"/>
  <c r="L214" i="6" l="1"/>
  <c r="C214" i="6"/>
  <c r="T213" i="6"/>
  <c r="C213" i="6"/>
  <c r="H213" i="6" l="1"/>
  <c r="T212" i="6"/>
  <c r="C212" i="6"/>
  <c r="H212" i="6" l="1"/>
  <c r="T211" i="6" l="1"/>
  <c r="T210" i="6" l="1"/>
  <c r="H210" i="6"/>
  <c r="T209" i="6" l="1"/>
  <c r="H209" i="6"/>
  <c r="T208" i="6" l="1"/>
  <c r="H208" i="6"/>
  <c r="T207" i="6" l="1"/>
  <c r="H207" i="6"/>
  <c r="T206" i="6" l="1"/>
  <c r="H206" i="6"/>
  <c r="T205" i="6"/>
  <c r="H205" i="6"/>
  <c r="T204" i="6" l="1"/>
  <c r="H204" i="6"/>
  <c r="T203" i="6" l="1"/>
  <c r="H203" i="6"/>
  <c r="T202" i="6" l="1"/>
  <c r="H202" i="6"/>
  <c r="T201" i="6"/>
  <c r="H201" i="6"/>
  <c r="T200" i="6" l="1"/>
  <c r="H200" i="6"/>
  <c r="T199" i="6" l="1"/>
  <c r="H199" i="6"/>
  <c r="O192" i="6" l="1"/>
  <c r="O206" i="6" s="1"/>
  <c r="L192" i="6"/>
  <c r="I192" i="6"/>
  <c r="H192" i="6"/>
  <c r="J192" i="6" s="1"/>
  <c r="Q192" i="6" l="1"/>
  <c r="K192" i="6"/>
  <c r="J193" i="6" s="1"/>
  <c r="K193" i="6" s="1"/>
  <c r="M192" i="6"/>
  <c r="M206" i="6" s="1"/>
  <c r="T191" i="6" l="1"/>
  <c r="H191" i="6"/>
  <c r="T190" i="6" l="1"/>
  <c r="H190" i="6"/>
  <c r="T189" i="6"/>
  <c r="H189" i="6"/>
  <c r="L188" i="6" l="1"/>
  <c r="C188" i="6"/>
  <c r="T187" i="6" l="1"/>
  <c r="C187" i="6"/>
  <c r="H187" i="6" l="1"/>
  <c r="T186" i="6"/>
  <c r="C186" i="6"/>
  <c r="T185" i="6"/>
  <c r="H186" i="6" l="1"/>
  <c r="T184" i="6" l="1"/>
  <c r="H184" i="6"/>
  <c r="T192" i="6" l="1"/>
  <c r="T183" i="6" l="1"/>
  <c r="H183" i="6"/>
  <c r="T182" i="6" l="1"/>
  <c r="H182" i="6"/>
  <c r="T181" i="6"/>
  <c r="H181" i="6"/>
  <c r="T180" i="6" l="1"/>
  <c r="H180" i="6"/>
  <c r="T179" i="6" l="1"/>
  <c r="H179" i="6"/>
  <c r="T178" i="6" l="1"/>
  <c r="I178" i="6"/>
  <c r="H178" i="6"/>
  <c r="T177" i="6"/>
  <c r="I177" i="6"/>
  <c r="H177" i="6"/>
  <c r="T176" i="6" l="1"/>
  <c r="I176" i="6"/>
  <c r="H176" i="6"/>
  <c r="T175" i="6" l="1"/>
  <c r="I175" i="6"/>
  <c r="H175" i="6"/>
  <c r="I174" i="6" l="1"/>
  <c r="H174" i="6"/>
  <c r="I173" i="6"/>
  <c r="H173" i="6"/>
  <c r="Q173" i="6" l="1"/>
  <c r="T173" i="6" s="1"/>
  <c r="J173" i="6"/>
  <c r="K173" i="6" s="1"/>
  <c r="I172" i="6"/>
  <c r="H172" i="6"/>
  <c r="J172" i="6" l="1"/>
  <c r="K172" i="6" s="1"/>
  <c r="Q172" i="6"/>
  <c r="T172" i="6" s="1"/>
  <c r="T171" i="6"/>
  <c r="Q170" i="6" l="1"/>
  <c r="O170" i="6"/>
  <c r="L170" i="6"/>
  <c r="J170" i="6"/>
  <c r="I170" i="6"/>
  <c r="H170" i="6"/>
  <c r="Q169" i="6"/>
  <c r="O169" i="6"/>
  <c r="L169" i="6"/>
  <c r="J169" i="6"/>
  <c r="I169" i="6"/>
  <c r="H169" i="6"/>
  <c r="K169" i="6" l="1"/>
  <c r="K170" i="6"/>
  <c r="M169" i="6"/>
  <c r="M170" i="6"/>
  <c r="I168" i="6"/>
  <c r="H168" i="6"/>
  <c r="Q168" i="6" l="1"/>
  <c r="T168" i="6" s="1"/>
  <c r="J168" i="6"/>
  <c r="K168" i="6" s="1"/>
  <c r="O167" i="6"/>
  <c r="L167" i="6"/>
  <c r="I167" i="6"/>
  <c r="H167" i="6"/>
  <c r="J167" i="6" s="1"/>
  <c r="Q167" i="6" l="1"/>
  <c r="M167" i="6"/>
  <c r="K167" i="6"/>
  <c r="O180" i="6"/>
  <c r="I166" i="6"/>
  <c r="H166" i="6"/>
  <c r="T165" i="6"/>
  <c r="H165" i="6"/>
  <c r="Q166" i="6" l="1"/>
  <c r="T166" i="6" s="1"/>
  <c r="J166" i="6"/>
  <c r="K166" i="6" s="1"/>
  <c r="M180" i="6"/>
  <c r="T164" i="6"/>
  <c r="H164" i="6"/>
  <c r="K180" i="6" l="1"/>
  <c r="T163" i="6" l="1"/>
  <c r="H163" i="6"/>
  <c r="L162" i="6" l="1"/>
  <c r="J162" i="6" s="1"/>
  <c r="C162" i="6"/>
  <c r="T161" i="6"/>
  <c r="C161" i="6"/>
  <c r="H162" i="6" l="1"/>
  <c r="H161" i="6"/>
  <c r="T160" i="6"/>
  <c r="C160" i="6"/>
  <c r="H160" i="6" l="1"/>
  <c r="T159" i="6" l="1"/>
  <c r="T158" i="6" l="1"/>
  <c r="H158" i="6"/>
  <c r="T167" i="6" l="1"/>
  <c r="T169" i="6" l="1"/>
  <c r="T170" i="6" l="1"/>
  <c r="T105" i="6" l="1"/>
  <c r="H105" i="6"/>
  <c r="T104" i="6" l="1"/>
  <c r="H104" i="6"/>
  <c r="T103" i="6" l="1"/>
  <c r="H103" i="6"/>
  <c r="T102" i="6" l="1"/>
  <c r="H102" i="6"/>
  <c r="T101" i="6"/>
  <c r="H101" i="6"/>
  <c r="T100" i="6" l="1"/>
  <c r="H100" i="6"/>
  <c r="T99" i="6" l="1"/>
  <c r="H99" i="6"/>
  <c r="T98" i="6" l="1"/>
  <c r="H98" i="6"/>
  <c r="T97" i="6"/>
  <c r="H97" i="6"/>
  <c r="T96" i="6" l="1"/>
  <c r="H96" i="6"/>
  <c r="T95" i="6"/>
  <c r="H95" i="6"/>
  <c r="T94" i="6"/>
  <c r="H94" i="6"/>
  <c r="Q93" i="6"/>
  <c r="O93" i="6"/>
  <c r="L93" i="6"/>
  <c r="J93" i="6"/>
  <c r="H93" i="6"/>
  <c r="O92" i="6"/>
  <c r="L92" i="6"/>
  <c r="H92" i="6"/>
  <c r="Q92" i="6" s="1"/>
  <c r="O91" i="6"/>
  <c r="L91" i="6"/>
  <c r="H91" i="6"/>
  <c r="Q91" i="6" s="1"/>
  <c r="Q90" i="6"/>
  <c r="O90" i="6"/>
  <c r="L90" i="6"/>
  <c r="J90" i="6"/>
  <c r="I90" i="6"/>
  <c r="H90" i="6"/>
  <c r="O89" i="6"/>
  <c r="L89" i="6"/>
  <c r="I89" i="6"/>
  <c r="H89" i="6"/>
  <c r="J89" i="6" s="1"/>
  <c r="K93" i="6" l="1"/>
  <c r="Q89" i="6"/>
  <c r="M91" i="6"/>
  <c r="J92" i="6"/>
  <c r="K92" i="6" s="1"/>
  <c r="K90" i="6"/>
  <c r="K89" i="6"/>
  <c r="M89" i="6"/>
  <c r="M90" i="6"/>
  <c r="M93" i="6"/>
  <c r="M92" i="6"/>
  <c r="O88" i="6"/>
  <c r="L88" i="6"/>
  <c r="I88" i="6"/>
  <c r="H88" i="6"/>
  <c r="Q88" i="6" s="1"/>
  <c r="M88" i="6" l="1"/>
  <c r="M102" i="6" s="1"/>
  <c r="O102" i="6"/>
  <c r="T87" i="6"/>
  <c r="H87" i="6"/>
  <c r="T86" i="6" l="1"/>
  <c r="H86" i="6"/>
  <c r="T85" i="6"/>
  <c r="H85" i="6"/>
  <c r="L84" i="6" l="1"/>
  <c r="C84" i="6"/>
  <c r="T83" i="6" l="1"/>
  <c r="C83" i="6"/>
  <c r="H83" i="6" l="1"/>
  <c r="T82" i="6"/>
  <c r="C82" i="6"/>
  <c r="T81" i="6"/>
  <c r="H82" i="6" l="1"/>
  <c r="T80" i="6"/>
  <c r="H80" i="6"/>
  <c r="T88" i="6" l="1"/>
  <c r="T89" i="6" l="1"/>
  <c r="T90" i="6" l="1"/>
  <c r="T91" i="6" l="1"/>
  <c r="T92" i="6" l="1"/>
  <c r="T93" i="6" l="1"/>
  <c r="T79" i="6" l="1"/>
  <c r="H79" i="6"/>
  <c r="T78" i="6" l="1"/>
  <c r="H78" i="6"/>
  <c r="T77" i="6"/>
  <c r="H77" i="6"/>
  <c r="T76" i="6"/>
  <c r="H76" i="6"/>
  <c r="T75" i="6"/>
  <c r="H75" i="6"/>
  <c r="T74" i="6"/>
  <c r="H74" i="6"/>
  <c r="T73" i="6"/>
  <c r="H73" i="6"/>
  <c r="T72" i="6"/>
  <c r="H72" i="6"/>
  <c r="T71" i="6"/>
  <c r="H71" i="6"/>
  <c r="T70" i="6"/>
  <c r="H70" i="6"/>
  <c r="T69" i="6"/>
  <c r="H69" i="6"/>
  <c r="T68" i="6" l="1"/>
  <c r="H68" i="6"/>
  <c r="T67" i="6" l="1"/>
  <c r="H67" i="6"/>
  <c r="T66" i="6"/>
  <c r="H66" i="6"/>
  <c r="T65" i="6"/>
  <c r="H65" i="6"/>
  <c r="T64" i="6"/>
  <c r="H64" i="6"/>
  <c r="T63" i="6"/>
  <c r="I63" i="6"/>
  <c r="H63" i="6"/>
  <c r="Q62" i="6"/>
  <c r="O62" i="6"/>
  <c r="O76" i="6" s="1"/>
  <c r="L62" i="6"/>
  <c r="J62" i="6"/>
  <c r="I62" i="6"/>
  <c r="H62" i="6"/>
  <c r="T61" i="6"/>
  <c r="H61" i="6"/>
  <c r="T60" i="6"/>
  <c r="H60" i="6"/>
  <c r="T59" i="6"/>
  <c r="H59" i="6"/>
  <c r="K62" i="6" l="1"/>
  <c r="M62" i="6"/>
  <c r="J63" i="6" s="1"/>
  <c r="C58" i="6"/>
  <c r="T57" i="6"/>
  <c r="C57" i="6"/>
  <c r="T56" i="6"/>
  <c r="C56" i="6"/>
  <c r="M76" i="6" l="1"/>
  <c r="K63" i="6"/>
  <c r="H56" i="6"/>
  <c r="H57" i="6"/>
  <c r="T55" i="6"/>
  <c r="K76" i="6" l="1"/>
  <c r="J58" i="6" s="1"/>
  <c r="L58" i="6"/>
  <c r="T54" i="6"/>
  <c r="H54" i="6"/>
  <c r="H58" i="6" l="1"/>
  <c r="T62" i="6" l="1"/>
  <c r="T53" i="6" l="1"/>
  <c r="H53" i="6"/>
  <c r="T52" i="6"/>
  <c r="H52" i="6"/>
  <c r="T51" i="6"/>
  <c r="H51" i="6"/>
  <c r="T50" i="6" l="1"/>
  <c r="H50" i="6"/>
  <c r="T49" i="6"/>
  <c r="H49" i="6"/>
  <c r="T48" i="6"/>
  <c r="H48" i="6"/>
  <c r="Q47" i="6" l="1"/>
  <c r="O47" i="6"/>
  <c r="L47" i="6"/>
  <c r="J47" i="6"/>
  <c r="I47" i="6"/>
  <c r="H47" i="6"/>
  <c r="Q46" i="6"/>
  <c r="O46" i="6"/>
  <c r="L46" i="6"/>
  <c r="J46" i="6"/>
  <c r="I46" i="6"/>
  <c r="H46" i="6"/>
  <c r="O45" i="6"/>
  <c r="L45" i="6"/>
  <c r="I45" i="6"/>
  <c r="H45" i="6"/>
  <c r="J45" i="6" s="1"/>
  <c r="K46" i="6" l="1"/>
  <c r="Q45" i="6"/>
  <c r="M45" i="6"/>
  <c r="M46" i="6"/>
  <c r="M47" i="6"/>
  <c r="K45" i="6"/>
  <c r="K47" i="6"/>
  <c r="O44" i="6"/>
  <c r="L44" i="6"/>
  <c r="I44" i="6"/>
  <c r="H44" i="6"/>
  <c r="Q44" i="6" s="1"/>
  <c r="J44" i="6" l="1"/>
  <c r="K44" i="6" s="1"/>
  <c r="M44" i="6"/>
  <c r="O43" i="6"/>
  <c r="L43" i="6"/>
  <c r="I43" i="6"/>
  <c r="H43" i="6"/>
  <c r="Q43" i="6" s="1"/>
  <c r="T43" i="6" s="1"/>
  <c r="O42" i="6"/>
  <c r="L42" i="6"/>
  <c r="I42" i="6"/>
  <c r="H42" i="6"/>
  <c r="Q42" i="6" s="1"/>
  <c r="O41" i="6"/>
  <c r="L41" i="6"/>
  <c r="I41" i="6"/>
  <c r="H41" i="6"/>
  <c r="Q41" i="6" s="1"/>
  <c r="T41" i="6" s="1"/>
  <c r="J41" i="6" l="1"/>
  <c r="K41" i="6" s="1"/>
  <c r="J42" i="6"/>
  <c r="K42" i="6" s="1"/>
  <c r="M41" i="6"/>
  <c r="J43" i="6"/>
  <c r="K43" i="6" s="1"/>
  <c r="M43" i="6"/>
  <c r="M42" i="6"/>
  <c r="O40" i="6"/>
  <c r="L40" i="6"/>
  <c r="I40" i="6"/>
  <c r="H40" i="6"/>
  <c r="Q40" i="6" s="1"/>
  <c r="O39" i="6"/>
  <c r="L39" i="6"/>
  <c r="I39" i="6"/>
  <c r="H39" i="6"/>
  <c r="J39" i="6" s="1"/>
  <c r="Q39" i="6" l="1"/>
  <c r="J40" i="6"/>
  <c r="K40" i="6" s="1"/>
  <c r="M39" i="6"/>
  <c r="K39" i="6"/>
  <c r="M40" i="6"/>
  <c r="O38" i="6"/>
  <c r="L38" i="6"/>
  <c r="I38" i="6"/>
  <c r="H38" i="6"/>
  <c r="Q38" i="6" s="1"/>
  <c r="J38" i="6" l="1"/>
  <c r="K38" i="6" s="1"/>
  <c r="M38" i="6"/>
  <c r="O37" i="6"/>
  <c r="L37" i="6"/>
  <c r="I37" i="6"/>
  <c r="H37" i="6"/>
  <c r="Q37" i="6" s="1"/>
  <c r="O36" i="6"/>
  <c r="L36" i="6"/>
  <c r="J36" i="6"/>
  <c r="I36" i="6"/>
  <c r="H36" i="6"/>
  <c r="Q36" i="6" s="1"/>
  <c r="T35" i="6"/>
  <c r="H35" i="6"/>
  <c r="T34" i="6"/>
  <c r="H34" i="6"/>
  <c r="T33" i="6"/>
  <c r="H33" i="6"/>
  <c r="C32" i="6"/>
  <c r="T31" i="6"/>
  <c r="C31" i="6"/>
  <c r="T30" i="6"/>
  <c r="C30" i="6"/>
  <c r="T29" i="6"/>
  <c r="T28" i="6"/>
  <c r="H28" i="6"/>
  <c r="J37" i="6" l="1"/>
  <c r="K37" i="6" s="1"/>
  <c r="O50" i="6"/>
  <c r="M37" i="6"/>
  <c r="H30" i="6"/>
  <c r="H31" i="6"/>
  <c r="M36" i="6"/>
  <c r="K36" i="6"/>
  <c r="K50" i="6" l="1"/>
  <c r="M50" i="6"/>
  <c r="L32" i="6" s="1"/>
  <c r="J32" i="6" l="1"/>
  <c r="H32" i="6" s="1"/>
  <c r="T27" i="6" l="1"/>
  <c r="H27" i="6"/>
  <c r="T26" i="6"/>
  <c r="B26" i="6"/>
  <c r="T25" i="6"/>
  <c r="T24" i="6"/>
  <c r="B24" i="6"/>
  <c r="T23" i="6"/>
  <c r="T22" i="6"/>
  <c r="H22" i="6"/>
  <c r="T21" i="6"/>
  <c r="H21" i="6"/>
  <c r="T20" i="6"/>
  <c r="H20" i="6"/>
  <c r="T19" i="6"/>
  <c r="I19" i="6" l="1"/>
  <c r="H19" i="6"/>
  <c r="T18" i="6"/>
  <c r="H18" i="6"/>
  <c r="T17" i="6"/>
  <c r="H17" i="6"/>
  <c r="T16" i="6"/>
  <c r="H16" i="6"/>
  <c r="T15" i="6"/>
  <c r="H15" i="6"/>
  <c r="T14" i="6"/>
  <c r="H14" i="6"/>
  <c r="T13" i="6"/>
  <c r="H13" i="6"/>
  <c r="T12" i="6"/>
  <c r="H12" i="6"/>
  <c r="Q11" i="6"/>
  <c r="O11" i="6"/>
  <c r="O19" i="6" s="1"/>
  <c r="L11" i="6"/>
  <c r="J11" i="6"/>
  <c r="I11" i="6"/>
  <c r="H11" i="6"/>
  <c r="H10" i="6"/>
  <c r="H9" i="6"/>
  <c r="H8" i="6"/>
  <c r="C7" i="6"/>
  <c r="C6" i="6"/>
  <c r="C5" i="6"/>
  <c r="X4" i="6"/>
  <c r="D4" i="6"/>
  <c r="H3" i="6"/>
  <c r="W3" i="6" l="1"/>
  <c r="W4" i="6" s="1"/>
  <c r="Y4" i="6" s="1"/>
  <c r="K11" i="6"/>
  <c r="M11" i="6"/>
  <c r="M19" i="6" s="1"/>
  <c r="K19" i="6" l="1"/>
  <c r="J7" i="6" s="1"/>
  <c r="H7" i="6" s="1"/>
  <c r="L7" i="6"/>
  <c r="A54" i="35" l="1"/>
  <c r="A53" i="35" l="1"/>
  <c r="A52" i="35" l="1"/>
  <c r="A51" i="35"/>
  <c r="A50" i="35"/>
  <c r="A49" i="35"/>
  <c r="A48" i="35" l="1"/>
  <c r="A47" i="35"/>
  <c r="A46" i="35"/>
  <c r="A45" i="35"/>
  <c r="A44" i="35"/>
  <c r="A43" i="35"/>
  <c r="A42" i="35"/>
  <c r="A41" i="35" l="1"/>
  <c r="A40" i="35" l="1"/>
  <c r="A39" i="35"/>
  <c r="A38" i="35"/>
  <c r="A37" i="35"/>
  <c r="A36" i="35"/>
  <c r="A35" i="35"/>
  <c r="A34" i="35"/>
  <c r="A33" i="35"/>
  <c r="A32" i="35"/>
  <c r="A31" i="35" l="1"/>
  <c r="A30" i="35"/>
  <c r="A29" i="35" l="1"/>
  <c r="A28" i="35" l="1"/>
  <c r="A27" i="35" l="1"/>
  <c r="A26" i="35"/>
  <c r="A25" i="35" l="1"/>
  <c r="A23" i="35" l="1"/>
  <c r="A22" i="35"/>
  <c r="A21" i="35" l="1"/>
  <c r="A20" i="35"/>
  <c r="A18" i="35" l="1"/>
  <c r="A17" i="35"/>
  <c r="A16" i="35" l="1"/>
  <c r="A13" i="35" l="1"/>
  <c r="A12" i="35" l="1"/>
  <c r="A9" i="35" l="1"/>
  <c r="A8" i="35" l="1"/>
  <c r="A7" i="35" l="1"/>
  <c r="L6" i="35"/>
  <c r="C4" i="6" s="1"/>
  <c r="J6" i="35"/>
  <c r="I6" i="35"/>
  <c r="H6" i="35"/>
  <c r="K6" i="35" l="1"/>
  <c r="Y3" i="6"/>
  <c r="H4" i="6"/>
  <c r="A6" i="35"/>
  <c r="R189" i="44" l="1"/>
  <c r="R188" i="44"/>
  <c r="R190" i="44"/>
  <c r="R184" i="44"/>
  <c r="R187" i="44"/>
  <c r="R185" i="44"/>
  <c r="R186" i="44"/>
  <c r="R34" i="44"/>
  <c r="R35" i="44"/>
  <c r="R126" i="44"/>
  <c r="R125" i="44"/>
  <c r="R123" i="44"/>
  <c r="R122" i="44"/>
  <c r="R121" i="44"/>
  <c r="R119" i="44"/>
  <c r="R118" i="44"/>
  <c r="R116" i="44"/>
  <c r="R115" i="44"/>
  <c r="R111" i="44"/>
  <c r="R110" i="44"/>
  <c r="R108" i="44"/>
  <c r="R107" i="44"/>
  <c r="R106" i="44"/>
  <c r="R104" i="44"/>
  <c r="R103" i="44"/>
  <c r="R101" i="44"/>
  <c r="R100" i="44"/>
  <c r="R97" i="44"/>
  <c r="R90" i="44"/>
  <c r="R89" i="44"/>
  <c r="R85" i="44"/>
  <c r="R91" i="44"/>
  <c r="R88" i="44"/>
  <c r="R87" i="44"/>
  <c r="R86" i="44"/>
  <c r="R78" i="44"/>
  <c r="R82" i="44"/>
  <c r="R83" i="44"/>
  <c r="R81" i="44"/>
  <c r="R76" i="44"/>
  <c r="R77" i="44"/>
  <c r="R75" i="44"/>
  <c r="R64" i="44"/>
  <c r="R68" i="44"/>
  <c r="R31" i="44"/>
  <c r="R58" i="44"/>
  <c r="R60" i="44"/>
  <c r="R67" i="44"/>
  <c r="R65" i="44"/>
  <c r="R66" i="44"/>
  <c r="R61" i="44"/>
  <c r="R30" i="44"/>
  <c r="R59" i="44"/>
  <c r="R55" i="44"/>
  <c r="R54" i="44"/>
  <c r="R53" i="44"/>
  <c r="R12" i="44"/>
  <c r="I50" i="6" l="1"/>
  <c r="D29" i="6"/>
  <c r="L7" i="35"/>
  <c r="C29" i="6" s="1"/>
  <c r="H29" i="6" s="1"/>
  <c r="H7" i="35" l="1"/>
  <c r="W28" i="6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I7" i="35"/>
  <c r="J7" i="35"/>
  <c r="K7" i="35" l="1"/>
  <c r="J7" i="40" l="1"/>
  <c r="G7" i="40"/>
  <c r="F7" i="40"/>
  <c r="B7" i="40"/>
  <c r="J6" i="40"/>
  <c r="G6" i="40"/>
  <c r="F6" i="40"/>
  <c r="D6" i="40" l="1"/>
  <c r="B6" i="40"/>
  <c r="A6" i="40"/>
  <c r="A4" i="40"/>
  <c r="D72" i="44" l="1"/>
  <c r="D71" i="40" s="1"/>
  <c r="A72" i="44"/>
  <c r="A71" i="40" s="1"/>
  <c r="I159" i="44" l="1"/>
  <c r="W159" i="44"/>
  <c r="D28" i="44" l="1"/>
  <c r="D27" i="40" s="1"/>
  <c r="A28" i="44"/>
  <c r="A27" i="40" s="1"/>
  <c r="I44" i="44" l="1"/>
  <c r="W44" i="44"/>
  <c r="D50" i="44" l="1"/>
  <c r="D49" i="40" s="1"/>
  <c r="I71" i="44" l="1"/>
  <c r="W71" i="44" l="1"/>
  <c r="I11" i="44" l="1"/>
  <c r="I10" i="44" l="1"/>
  <c r="R10" i="44" s="1"/>
  <c r="I9" i="44" l="1"/>
  <c r="D8" i="44"/>
  <c r="A8" i="44"/>
  <c r="A23" i="50"/>
  <c r="J9" i="44" l="1"/>
  <c r="L9" i="44"/>
  <c r="R9" i="44"/>
  <c r="A7" i="40"/>
  <c r="W23" i="44"/>
  <c r="D7" i="40"/>
  <c r="I23" i="44"/>
  <c r="X108" i="7" s="1"/>
  <c r="A4" i="50"/>
  <c r="A4" i="44" s="1"/>
  <c r="J28" i="1"/>
  <c r="J27" i="1"/>
  <c r="J24" i="1"/>
  <c r="A24" i="1"/>
  <c r="J23" i="1"/>
  <c r="A23" i="1"/>
  <c r="J22" i="1"/>
  <c r="J20" i="1"/>
  <c r="J14" i="1"/>
  <c r="J13" i="1"/>
  <c r="J12" i="1"/>
  <c r="J9" i="1"/>
  <c r="J6" i="1"/>
  <c r="Q61" i="35" l="1"/>
  <c r="X125" i="7"/>
  <c r="Q59" i="35"/>
  <c r="Q55" i="35"/>
  <c r="Q56" i="35"/>
  <c r="X131" i="7"/>
  <c r="Q60" i="35"/>
  <c r="Q57" i="35"/>
  <c r="X124" i="7"/>
  <c r="X128" i="7"/>
  <c r="X129" i="7"/>
  <c r="Q58" i="35"/>
  <c r="X127" i="7"/>
  <c r="X130" i="7"/>
  <c r="X126" i="7"/>
  <c r="X101" i="7"/>
  <c r="Q10" i="35"/>
  <c r="Q11" i="35"/>
  <c r="X107" i="7"/>
  <c r="X110" i="7"/>
  <c r="X109" i="7"/>
  <c r="X115" i="7"/>
  <c r="X112" i="7"/>
  <c r="X111" i="7"/>
  <c r="X114" i="7"/>
  <c r="X113" i="7"/>
  <c r="N10" i="50"/>
  <c r="X58" i="7"/>
  <c r="X25" i="7"/>
  <c r="X22" i="7"/>
  <c r="X26" i="7"/>
  <c r="Q15" i="35"/>
  <c r="X23" i="7"/>
  <c r="X24" i="7"/>
  <c r="J10" i="50"/>
  <c r="X86" i="7"/>
  <c r="X16" i="7"/>
  <c r="X14" i="7"/>
  <c r="X98" i="7"/>
  <c r="L10" i="50"/>
  <c r="Q19" i="35"/>
  <c r="X55" i="7"/>
  <c r="X54" i="7"/>
  <c r="X118" i="7"/>
  <c r="X116" i="7"/>
  <c r="X100" i="7"/>
  <c r="X105" i="7"/>
  <c r="X106" i="7"/>
  <c r="X102" i="7"/>
  <c r="X104" i="7"/>
  <c r="X103" i="7"/>
  <c r="X123" i="7"/>
  <c r="X120" i="7"/>
  <c r="X119" i="7"/>
  <c r="X99" i="7"/>
  <c r="X121" i="7"/>
  <c r="X117" i="7"/>
  <c r="X122" i="7"/>
  <c r="X93" i="7"/>
  <c r="X90" i="7"/>
  <c r="X92" i="7"/>
  <c r="X87" i="7"/>
  <c r="X84" i="7"/>
  <c r="X94" i="7"/>
  <c r="X85" i="7"/>
  <c r="X97" i="7"/>
  <c r="X91" i="7"/>
  <c r="X88" i="7"/>
  <c r="X95" i="7"/>
  <c r="X83" i="7"/>
  <c r="X96" i="7"/>
  <c r="X89" i="7"/>
  <c r="X81" i="7"/>
  <c r="X80" i="7"/>
  <c r="X82" i="7"/>
  <c r="X79" i="7"/>
  <c r="X77" i="7"/>
  <c r="X78" i="7"/>
  <c r="X67" i="7"/>
  <c r="X66" i="7"/>
  <c r="X76" i="7"/>
  <c r="X63" i="7"/>
  <c r="X65" i="7"/>
  <c r="X75" i="7"/>
  <c r="X64" i="7"/>
  <c r="X72" i="7"/>
  <c r="X71" i="7"/>
  <c r="X74" i="7"/>
  <c r="X69" i="7"/>
  <c r="X70" i="7"/>
  <c r="X68" i="7"/>
  <c r="X73" i="7"/>
  <c r="X62" i="7"/>
  <c r="X32" i="7"/>
  <c r="X44" i="7"/>
  <c r="X57" i="7"/>
  <c r="X33" i="7"/>
  <c r="X43" i="7"/>
  <c r="X27" i="7"/>
  <c r="X37" i="7"/>
  <c r="X52" i="7"/>
  <c r="X28" i="7"/>
  <c r="X38" i="7"/>
  <c r="X50" i="7"/>
  <c r="X60" i="7"/>
  <c r="X29" i="7"/>
  <c r="X42" i="7"/>
  <c r="X53" i="7"/>
  <c r="X30" i="7"/>
  <c r="X39" i="7"/>
  <c r="X49" i="7"/>
  <c r="X18" i="7"/>
  <c r="X51" i="7"/>
  <c r="X19" i="7"/>
  <c r="X34" i="7"/>
  <c r="X48" i="7"/>
  <c r="X20" i="7"/>
  <c r="X35" i="7"/>
  <c r="X21" i="7"/>
  <c r="X36" i="7"/>
  <c r="X47" i="7"/>
  <c r="X61" i="7"/>
  <c r="X59" i="7"/>
  <c r="X46" i="7"/>
  <c r="X17" i="7"/>
  <c r="X45" i="7"/>
  <c r="X40" i="7"/>
  <c r="X56" i="7"/>
  <c r="X31" i="7"/>
  <c r="X41" i="7"/>
  <c r="X13" i="7"/>
  <c r="X11" i="7"/>
  <c r="X10" i="7"/>
  <c r="X15" i="7"/>
  <c r="X9" i="7"/>
  <c r="X12" i="7"/>
  <c r="K9" i="44"/>
  <c r="Q14" i="35"/>
  <c r="Q52" i="35"/>
  <c r="Q48" i="35"/>
  <c r="Q44" i="35"/>
  <c r="Q41" i="35"/>
  <c r="Q40" i="35"/>
  <c r="Q34" i="35"/>
  <c r="Q32" i="35"/>
  <c r="Q31" i="35"/>
  <c r="Q27" i="35"/>
  <c r="Q25" i="35"/>
  <c r="Q21" i="35"/>
  <c r="Q17" i="35"/>
  <c r="Q54" i="35"/>
  <c r="Q50" i="35"/>
  <c r="Q45" i="35"/>
  <c r="Q37" i="35"/>
  <c r="Q26" i="35"/>
  <c r="Q22" i="35"/>
  <c r="Q18" i="35"/>
  <c r="Q24" i="35"/>
  <c r="X8" i="7"/>
  <c r="Q53" i="35"/>
  <c r="Q42" i="35"/>
  <c r="Q33" i="35"/>
  <c r="Q30" i="35"/>
  <c r="Q29" i="35"/>
  <c r="Q28" i="35"/>
  <c r="Q23" i="35"/>
  <c r="Q20" i="35"/>
  <c r="Q16" i="35"/>
  <c r="Q49" i="35"/>
  <c r="Q47" i="35"/>
  <c r="Q46" i="35"/>
  <c r="Q35" i="35"/>
  <c r="Q36" i="35"/>
  <c r="P10" i="50" l="1"/>
  <c r="M9" i="44" l="1"/>
  <c r="N9" i="44"/>
  <c r="U9" i="44" s="1"/>
  <c r="N10" i="44"/>
  <c r="O10" i="44" s="1"/>
  <c r="L10" i="44"/>
  <c r="M10" i="44" s="1"/>
  <c r="J10" i="44"/>
  <c r="H8" i="30"/>
  <c r="D16" i="10"/>
  <c r="H8" i="32"/>
  <c r="E8" i="32"/>
  <c r="J10" i="1"/>
  <c r="U10" i="44" l="1"/>
  <c r="O9" i="44"/>
  <c r="P9" i="44" s="1"/>
  <c r="K10" i="44"/>
  <c r="P10" i="44" s="1"/>
  <c r="J91" i="6"/>
  <c r="K91" i="6" s="1"/>
  <c r="J1050" i="6"/>
  <c r="K1050" i="6" s="1"/>
  <c r="J1054" i="6" s="1"/>
  <c r="K1054" i="6" s="1"/>
  <c r="J478" i="6"/>
  <c r="K478" i="6" s="1"/>
  <c r="K492" i="6" s="1"/>
  <c r="J474" i="6" s="1"/>
  <c r="K206" i="6"/>
  <c r="J188" i="6" s="1"/>
  <c r="J842" i="6"/>
  <c r="K842" i="6" s="1"/>
  <c r="K856" i="6" s="1"/>
  <c r="J838" i="6" s="1"/>
  <c r="J1158" i="6"/>
  <c r="K1158" i="6" s="1"/>
  <c r="J1159" i="6"/>
  <c r="K1159" i="6" s="1"/>
  <c r="J765" i="6"/>
  <c r="K765" i="6" s="1"/>
  <c r="K778" i="6" s="1"/>
  <c r="J760" i="6" s="1"/>
  <c r="J712" i="6"/>
  <c r="K712" i="6" s="1"/>
  <c r="J713" i="6"/>
  <c r="K713" i="6" s="1"/>
  <c r="J383" i="6"/>
  <c r="K383" i="6" s="1"/>
  <c r="K390" i="6" s="1"/>
  <c r="J370" i="6" s="1"/>
  <c r="M378" i="6"/>
  <c r="N378" i="6" s="1"/>
  <c r="M383" i="6"/>
  <c r="N383" i="6" s="1"/>
  <c r="J1000" i="6"/>
  <c r="K1000" i="6" s="1"/>
  <c r="K1012" i="6" s="1"/>
  <c r="J994" i="6" s="1"/>
  <c r="J271" i="6"/>
  <c r="K271" i="6" s="1"/>
  <c r="K284" i="6" s="1"/>
  <c r="J266" i="6" s="1"/>
  <c r="J739" i="6"/>
  <c r="K739" i="6" s="1"/>
  <c r="K752" i="6" s="1"/>
  <c r="J734" i="6" s="1"/>
  <c r="J791" i="6"/>
  <c r="K791" i="6" s="1"/>
  <c r="K804" i="6" s="1"/>
  <c r="J786" i="6" s="1"/>
  <c r="J1180" i="6"/>
  <c r="K1180" i="6" s="1"/>
  <c r="J1185" i="6" s="1"/>
  <c r="K1185" i="6" s="1"/>
  <c r="J1184" i="6"/>
  <c r="K1184" i="6" s="1"/>
  <c r="K232" i="6"/>
  <c r="J214" i="6" s="1"/>
  <c r="J324" i="6"/>
  <c r="K324" i="6" s="1"/>
  <c r="K336" i="6" s="1"/>
  <c r="J318" i="6" s="1"/>
  <c r="J298" i="6"/>
  <c r="K298" i="6" s="1"/>
  <c r="K310" i="6" s="1"/>
  <c r="J292" i="6" s="1"/>
  <c r="J686" i="6"/>
  <c r="K686" i="6" s="1"/>
  <c r="J667" i="6"/>
  <c r="K667" i="6" s="1"/>
  <c r="J668" i="6"/>
  <c r="K668" i="6" s="1"/>
  <c r="J669" i="6"/>
  <c r="K669" i="6" s="1"/>
  <c r="J1128" i="6"/>
  <c r="K1128" i="6" s="1"/>
  <c r="J1131" i="6"/>
  <c r="K1131" i="6" s="1"/>
  <c r="J1076" i="6"/>
  <c r="K1076" i="6" s="1"/>
  <c r="J1085" i="6" s="1"/>
  <c r="K1085" i="6" s="1"/>
  <c r="H5" i="6"/>
  <c r="H6" i="6"/>
  <c r="H84" i="6"/>
  <c r="H188" i="6"/>
  <c r="H214" i="6"/>
  <c r="H266" i="6"/>
  <c r="H292" i="6"/>
  <c r="H318" i="6"/>
  <c r="H370" i="6"/>
  <c r="H396" i="6"/>
  <c r="H422" i="6"/>
  <c r="H448" i="6"/>
  <c r="H474" i="6"/>
  <c r="H500" i="6"/>
  <c r="H526" i="6"/>
  <c r="H552" i="6"/>
  <c r="H578" i="6"/>
  <c r="H604" i="6"/>
  <c r="H630" i="6"/>
  <c r="H656" i="6"/>
  <c r="H682" i="6"/>
  <c r="H708" i="6"/>
  <c r="H734" i="6"/>
  <c r="H760" i="6"/>
  <c r="H786" i="6"/>
  <c r="H812" i="6"/>
  <c r="H838" i="6"/>
  <c r="H864" i="6"/>
  <c r="H890" i="6"/>
  <c r="H916" i="6"/>
  <c r="H942" i="6"/>
  <c r="H968" i="6"/>
  <c r="H994" i="6"/>
  <c r="H1020" i="6"/>
  <c r="H1046" i="6"/>
  <c r="H1072" i="6"/>
  <c r="H1098" i="6"/>
  <c r="H1124" i="6"/>
  <c r="H1150" i="6"/>
  <c r="H1176" i="6"/>
  <c r="H1202" i="6"/>
  <c r="H1228" i="6"/>
  <c r="Q7" i="35"/>
  <c r="Q6" i="35"/>
  <c r="Q8" i="35"/>
  <c r="Q9" i="35"/>
  <c r="Q12" i="35"/>
  <c r="Q13" i="35"/>
  <c r="Q38" i="35"/>
  <c r="Q39" i="35"/>
  <c r="Q43" i="35"/>
  <c r="Q51" i="35"/>
  <c r="W5" i="6"/>
  <c r="W6" i="6" s="1"/>
  <c r="W7" i="6" s="1"/>
  <c r="W8" i="6" s="1"/>
  <c r="X5" i="6"/>
  <c r="X6" i="6" s="1"/>
  <c r="X7" i="6" s="1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T11" i="6"/>
  <c r="N32" i="6"/>
  <c r="Q32" i="6" s="1"/>
  <c r="T32" i="6" s="1"/>
  <c r="T37" i="6"/>
  <c r="T36" i="6"/>
  <c r="T38" i="6"/>
  <c r="T39" i="6"/>
  <c r="T40" i="6"/>
  <c r="T42" i="6"/>
  <c r="T44" i="6"/>
  <c r="T45" i="6"/>
  <c r="T46" i="6"/>
  <c r="T47" i="6"/>
  <c r="N84" i="6"/>
  <c r="N162" i="6"/>
  <c r="Q162" i="6" s="1"/>
  <c r="T162" i="6" s="1"/>
  <c r="N188" i="6"/>
  <c r="N214" i="6"/>
  <c r="N266" i="6"/>
  <c r="L292" i="6"/>
  <c r="N292" i="6"/>
  <c r="L318" i="6"/>
  <c r="N318" i="6"/>
  <c r="N370" i="6"/>
  <c r="J396" i="6"/>
  <c r="L396" i="6"/>
  <c r="N396" i="6"/>
  <c r="J422" i="6"/>
  <c r="L422" i="6"/>
  <c r="N422" i="6"/>
  <c r="J448" i="6"/>
  <c r="L448" i="6"/>
  <c r="N448" i="6"/>
  <c r="L474" i="6"/>
  <c r="N474" i="6"/>
  <c r="L656" i="6"/>
  <c r="N656" i="6"/>
  <c r="L682" i="6"/>
  <c r="N682" i="6"/>
  <c r="L708" i="6"/>
  <c r="N708" i="6"/>
  <c r="L734" i="6"/>
  <c r="N734" i="6"/>
  <c r="L760" i="6"/>
  <c r="N760" i="6"/>
  <c r="L786" i="6"/>
  <c r="N786" i="6"/>
  <c r="J812" i="6"/>
  <c r="L812" i="6"/>
  <c r="N812" i="6"/>
  <c r="L838" i="6"/>
  <c r="N838" i="6"/>
  <c r="J916" i="6"/>
  <c r="L916" i="6"/>
  <c r="N916" i="6"/>
  <c r="J942" i="6"/>
  <c r="L942" i="6"/>
  <c r="N942" i="6"/>
  <c r="J968" i="6"/>
  <c r="L968" i="6"/>
  <c r="N968" i="6"/>
  <c r="L994" i="6"/>
  <c r="N994" i="6"/>
  <c r="J1020" i="6"/>
  <c r="L1020" i="6"/>
  <c r="N1020" i="6"/>
  <c r="L1046" i="6"/>
  <c r="N1046" i="6"/>
  <c r="J1202" i="6"/>
  <c r="L1202" i="6"/>
  <c r="N1202" i="6"/>
  <c r="N7" i="6"/>
  <c r="Q7" i="6" s="1"/>
  <c r="Q214" i="6" l="1"/>
  <c r="T214" i="6" s="1"/>
  <c r="Q266" i="6"/>
  <c r="T266" i="6" s="1"/>
  <c r="Q1020" i="6"/>
  <c r="T1020" i="6" s="1"/>
  <c r="Q916" i="6"/>
  <c r="T916" i="6" s="1"/>
  <c r="Q292" i="6"/>
  <c r="T292" i="6" s="1"/>
  <c r="Q422" i="6"/>
  <c r="T422" i="6" s="1"/>
  <c r="Q188" i="6"/>
  <c r="T188" i="6" s="1"/>
  <c r="Q942" i="6"/>
  <c r="T942" i="6" s="1"/>
  <c r="M390" i="6"/>
  <c r="L370" i="6" s="1"/>
  <c r="Q370" i="6" s="1"/>
  <c r="T370" i="6" s="1"/>
  <c r="Q812" i="6"/>
  <c r="T812" i="6" s="1"/>
  <c r="Q760" i="6"/>
  <c r="T760" i="6" s="1"/>
  <c r="Q448" i="6"/>
  <c r="T448" i="6" s="1"/>
  <c r="Q318" i="6"/>
  <c r="T318" i="6" s="1"/>
  <c r="Q734" i="6"/>
  <c r="T734" i="6" s="1"/>
  <c r="Y5" i="6"/>
  <c r="K674" i="6"/>
  <c r="J656" i="6" s="1"/>
  <c r="Q656" i="6" s="1"/>
  <c r="T656" i="6" s="1"/>
  <c r="Q1202" i="6"/>
  <c r="T1202" i="6" s="1"/>
  <c r="Q968" i="6"/>
  <c r="T968" i="6" s="1"/>
  <c r="Q396" i="6"/>
  <c r="T396" i="6" s="1"/>
  <c r="J1137" i="6"/>
  <c r="K1137" i="6" s="1"/>
  <c r="K726" i="6"/>
  <c r="J708" i="6" s="1"/>
  <c r="Q708" i="6" s="1"/>
  <c r="T708" i="6" s="1"/>
  <c r="J687" i="6"/>
  <c r="K687" i="6" s="1"/>
  <c r="K700" i="6" s="1"/>
  <c r="J682" i="6" s="1"/>
  <c r="Q682" i="6" s="1"/>
  <c r="T682" i="6" s="1"/>
  <c r="Q994" i="6"/>
  <c r="T994" i="6" s="1"/>
  <c r="Q838" i="6"/>
  <c r="T838" i="6" s="1"/>
  <c r="Q786" i="6"/>
  <c r="T786" i="6" s="1"/>
  <c r="Q474" i="6"/>
  <c r="T474" i="6" s="1"/>
  <c r="K1064" i="6"/>
  <c r="J1046" i="6" s="1"/>
  <c r="Q1046" i="6" s="1"/>
  <c r="T1046" i="6" s="1"/>
  <c r="Y8" i="6"/>
  <c r="W9" i="6"/>
  <c r="Y7" i="6"/>
  <c r="Y6" i="6"/>
  <c r="Y9" i="6" l="1"/>
  <c r="W10" i="6"/>
  <c r="V65" i="7" l="1"/>
  <c r="V97" i="7"/>
  <c r="V95" i="7"/>
  <c r="V96" i="7"/>
  <c r="V18" i="7"/>
  <c r="V19" i="7"/>
  <c r="V71" i="7"/>
  <c r="V20" i="7"/>
  <c r="V21" i="7"/>
  <c r="W11" i="6"/>
  <c r="Y10" i="6"/>
  <c r="I76" i="6" l="1"/>
  <c r="D55" i="6"/>
  <c r="L8" i="35"/>
  <c r="R11" i="44"/>
  <c r="Y11" i="6"/>
  <c r="W12" i="6"/>
  <c r="W54" i="6" l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H8" i="35"/>
  <c r="I8" i="35"/>
  <c r="J8" i="35"/>
  <c r="C55" i="6"/>
  <c r="H55" i="6" s="1"/>
  <c r="W13" i="6"/>
  <c r="Y12" i="6"/>
  <c r="J11" i="44" l="1"/>
  <c r="L11" i="44"/>
  <c r="M11" i="44" s="1"/>
  <c r="N11" i="44"/>
  <c r="O11" i="44" s="1"/>
  <c r="K8" i="35"/>
  <c r="W14" i="6"/>
  <c r="Y13" i="6"/>
  <c r="U11" i="44" l="1"/>
  <c r="K11" i="44"/>
  <c r="P11" i="44" s="1"/>
  <c r="W15" i="6"/>
  <c r="Y14" i="6"/>
  <c r="W16" i="6" l="1"/>
  <c r="Y15" i="6"/>
  <c r="W17" i="6" l="1"/>
  <c r="Y16" i="6"/>
  <c r="Y17" i="6" l="1"/>
  <c r="W18" i="6"/>
  <c r="W19" i="6" l="1"/>
  <c r="Y18" i="6"/>
  <c r="Y19" i="6" l="1"/>
  <c r="W20" i="6"/>
  <c r="W21" i="6" l="1"/>
  <c r="Y20" i="6"/>
  <c r="Y21" i="6" l="1"/>
  <c r="W22" i="6"/>
  <c r="W23" i="6" l="1"/>
  <c r="Y22" i="6"/>
  <c r="Y23" i="6" l="1"/>
  <c r="W24" i="6"/>
  <c r="W25" i="6" l="1"/>
  <c r="Y24" i="6"/>
  <c r="Y25" i="6" l="1"/>
  <c r="W26" i="6"/>
  <c r="W27" i="6" l="1"/>
  <c r="Y27" i="6" s="1"/>
  <c r="Y26" i="6"/>
  <c r="I102" i="6" l="1"/>
  <c r="L9" i="35"/>
  <c r="C81" i="6" s="1"/>
  <c r="H81" i="6" s="1"/>
  <c r="D81" i="6"/>
  <c r="W80" i="6" l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W92" i="6" s="1"/>
  <c r="W93" i="6" s="1"/>
  <c r="W94" i="6" s="1"/>
  <c r="W95" i="6" s="1"/>
  <c r="W96" i="6" s="1"/>
  <c r="W97" i="6" s="1"/>
  <c r="W98" i="6" s="1"/>
  <c r="W99" i="6" s="1"/>
  <c r="W100" i="6" s="1"/>
  <c r="W101" i="6" s="1"/>
  <c r="W102" i="6" s="1"/>
  <c r="W103" i="6" s="1"/>
  <c r="W104" i="6" s="1"/>
  <c r="W105" i="6" s="1"/>
  <c r="I9" i="35"/>
  <c r="L12" i="44" s="1"/>
  <c r="M12" i="44" s="1"/>
  <c r="J9" i="35"/>
  <c r="N12" i="44" s="1"/>
  <c r="O12" i="44" s="1"/>
  <c r="M23" i="44" l="1"/>
  <c r="L6" i="50" s="1"/>
  <c r="L22" i="50"/>
  <c r="O23" i="44"/>
  <c r="N6" i="50" s="1"/>
  <c r="N22" i="50"/>
  <c r="I180" i="6" l="1"/>
  <c r="L12" i="35"/>
  <c r="C159" i="6" s="1"/>
  <c r="H159" i="6" s="1"/>
  <c r="D159" i="6"/>
  <c r="W158" i="6" l="1"/>
  <c r="W159" i="6" s="1"/>
  <c r="W160" i="6" s="1"/>
  <c r="W161" i="6" s="1"/>
  <c r="W162" i="6" s="1"/>
  <c r="W163" i="6" s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W177" i="6" s="1"/>
  <c r="W178" i="6" s="1"/>
  <c r="W179" i="6" s="1"/>
  <c r="W180" i="6" s="1"/>
  <c r="W181" i="6" s="1"/>
  <c r="W182" i="6" s="1"/>
  <c r="W183" i="6" s="1"/>
  <c r="H12" i="35"/>
  <c r="J54" i="44" s="1"/>
  <c r="J12" i="35"/>
  <c r="N54" i="44" s="1"/>
  <c r="O54" i="44" s="1"/>
  <c r="I12" i="35"/>
  <c r="L54" i="44" s="1"/>
  <c r="M54" i="44" s="1"/>
  <c r="K54" i="44" l="1"/>
  <c r="P54" i="44" s="1"/>
  <c r="U54" i="44"/>
  <c r="K12" i="35"/>
  <c r="L14" i="35" l="1"/>
  <c r="I206" i="6" l="1"/>
  <c r="L13" i="35"/>
  <c r="C185" i="6" s="1"/>
  <c r="H185" i="6" s="1"/>
  <c r="D185" i="6"/>
  <c r="I13" i="35" l="1"/>
  <c r="L19" i="35"/>
  <c r="C341" i="6" s="1"/>
  <c r="H341" i="6" s="1"/>
  <c r="W184" i="6"/>
  <c r="W185" i="6" s="1"/>
  <c r="W186" i="6" s="1"/>
  <c r="W187" i="6" s="1"/>
  <c r="W188" i="6" s="1"/>
  <c r="W189" i="6" s="1"/>
  <c r="W190" i="6" s="1"/>
  <c r="W191" i="6" s="1"/>
  <c r="W192" i="6" s="1"/>
  <c r="H13" i="35"/>
  <c r="J13" i="35"/>
  <c r="W193" i="6" l="1"/>
  <c r="K13" i="35"/>
  <c r="W194" i="6" l="1"/>
  <c r="I232" i="6"/>
  <c r="C211" i="6"/>
  <c r="H211" i="6" s="1"/>
  <c r="D211" i="6"/>
  <c r="W195" i="6" l="1"/>
  <c r="W210" i="6"/>
  <c r="W211" i="6" s="1"/>
  <c r="W212" i="6" s="1"/>
  <c r="W213" i="6" s="1"/>
  <c r="W214" i="6" s="1"/>
  <c r="W215" i="6" s="1"/>
  <c r="W216" i="6" s="1"/>
  <c r="W217" i="6" s="1"/>
  <c r="I14" i="35"/>
  <c r="L64" i="44" s="1"/>
  <c r="M64" i="44" s="1"/>
  <c r="J14" i="35"/>
  <c r="N64" i="44" s="1"/>
  <c r="O64" i="44" s="1"/>
  <c r="I284" i="6"/>
  <c r="W262" i="6" s="1"/>
  <c r="W263" i="6" s="1"/>
  <c r="W264" i="6" s="1"/>
  <c r="W265" i="6" s="1"/>
  <c r="W266" i="6" s="1"/>
  <c r="W267" i="6" s="1"/>
  <c r="W268" i="6" s="1"/>
  <c r="W269" i="6" s="1"/>
  <c r="W270" i="6" s="1"/>
  <c r="W271" i="6" s="1"/>
  <c r="W272" i="6" s="1"/>
  <c r="W273" i="6" s="1"/>
  <c r="W274" i="6" s="1"/>
  <c r="W275" i="6" s="1"/>
  <c r="W276" i="6" s="1"/>
  <c r="W277" i="6" s="1"/>
  <c r="W278" i="6" s="1"/>
  <c r="W279" i="6" s="1"/>
  <c r="W280" i="6" s="1"/>
  <c r="W281" i="6" s="1"/>
  <c r="W282" i="6" s="1"/>
  <c r="W283" i="6" s="1"/>
  <c r="W284" i="6" s="1"/>
  <c r="W285" i="6" s="1"/>
  <c r="W286" i="6" s="1"/>
  <c r="W287" i="6" s="1"/>
  <c r="L16" i="35"/>
  <c r="C263" i="6" s="1"/>
  <c r="H263" i="6" s="1"/>
  <c r="D263" i="6"/>
  <c r="W196" i="6" l="1"/>
  <c r="W218" i="6"/>
  <c r="J16" i="35"/>
  <c r="I16" i="35"/>
  <c r="H16" i="35"/>
  <c r="J81" i="44" l="1"/>
  <c r="N81" i="44"/>
  <c r="O81" i="44" s="1"/>
  <c r="L81" i="44"/>
  <c r="M81" i="44" s="1"/>
  <c r="W197" i="6"/>
  <c r="W219" i="6"/>
  <c r="K16" i="35"/>
  <c r="K81" i="44" l="1"/>
  <c r="P81" i="44" s="1"/>
  <c r="U81" i="44"/>
  <c r="W198" i="6"/>
  <c r="W220" i="6"/>
  <c r="W199" i="6" l="1"/>
  <c r="W200" i="6" s="1"/>
  <c r="W201" i="6" s="1"/>
  <c r="W202" i="6" s="1"/>
  <c r="W203" i="6" s="1"/>
  <c r="W204" i="6" s="1"/>
  <c r="W205" i="6" s="1"/>
  <c r="W206" i="6" s="1"/>
  <c r="W207" i="6" s="1"/>
  <c r="W208" i="6" s="1"/>
  <c r="W209" i="6" s="1"/>
  <c r="W221" i="6"/>
  <c r="W222" i="6" l="1"/>
  <c r="W223" i="6" l="1"/>
  <c r="D315" i="6"/>
  <c r="W224" i="6" l="1"/>
  <c r="I310" i="6"/>
  <c r="L17" i="35"/>
  <c r="C289" i="6" s="1"/>
  <c r="H289" i="6" s="1"/>
  <c r="D289" i="6"/>
  <c r="W288" i="6" l="1"/>
  <c r="W289" i="6" s="1"/>
  <c r="W290" i="6" s="1"/>
  <c r="W291" i="6" s="1"/>
  <c r="W292" i="6" s="1"/>
  <c r="W293" i="6" s="1"/>
  <c r="W294" i="6" s="1"/>
  <c r="W295" i="6" s="1"/>
  <c r="W296" i="6" s="1"/>
  <c r="W297" i="6" s="1"/>
  <c r="W298" i="6" s="1"/>
  <c r="W299" i="6" s="1"/>
  <c r="W300" i="6" s="1"/>
  <c r="W301" i="6" s="1"/>
  <c r="W302" i="6" s="1"/>
  <c r="W303" i="6" s="1"/>
  <c r="W304" i="6" s="1"/>
  <c r="W305" i="6" s="1"/>
  <c r="W306" i="6" s="1"/>
  <c r="W307" i="6" s="1"/>
  <c r="W308" i="6" s="1"/>
  <c r="W309" i="6" s="1"/>
  <c r="W310" i="6" s="1"/>
  <c r="W311" i="6" s="1"/>
  <c r="W312" i="6" s="1"/>
  <c r="W313" i="6" s="1"/>
  <c r="W225" i="6"/>
  <c r="J17" i="35"/>
  <c r="I17" i="35"/>
  <c r="H17" i="35"/>
  <c r="W226" i="6" l="1"/>
  <c r="K17" i="35"/>
  <c r="W227" i="6" l="1"/>
  <c r="W228" i="6" l="1"/>
  <c r="I336" i="6"/>
  <c r="H18" i="35" s="1"/>
  <c r="L18" i="35"/>
  <c r="C315" i="6" s="1"/>
  <c r="H315" i="6" s="1"/>
  <c r="I18" i="35"/>
  <c r="J18" i="35"/>
  <c r="W314" i="6" l="1"/>
  <c r="W315" i="6" s="1"/>
  <c r="W316" i="6" s="1"/>
  <c r="W317" i="6" s="1"/>
  <c r="W318" i="6" s="1"/>
  <c r="W319" i="6" s="1"/>
  <c r="W320" i="6" s="1"/>
  <c r="W321" i="6" s="1"/>
  <c r="W322" i="6" s="1"/>
  <c r="W323" i="6" s="1"/>
  <c r="W324" i="6" s="1"/>
  <c r="W325" i="6" s="1"/>
  <c r="W326" i="6" s="1"/>
  <c r="W327" i="6" s="1"/>
  <c r="W328" i="6" s="1"/>
  <c r="W329" i="6" s="1"/>
  <c r="W330" i="6" s="1"/>
  <c r="W331" i="6" s="1"/>
  <c r="W332" i="6" s="1"/>
  <c r="W333" i="6" s="1"/>
  <c r="W334" i="6" s="1"/>
  <c r="W335" i="6" s="1"/>
  <c r="W336" i="6" s="1"/>
  <c r="W337" i="6" s="1"/>
  <c r="W338" i="6" s="1"/>
  <c r="W339" i="6" s="1"/>
  <c r="L86" i="44"/>
  <c r="M86" i="44" s="1"/>
  <c r="N86" i="44"/>
  <c r="O86" i="44" s="1"/>
  <c r="J86" i="44"/>
  <c r="L76" i="44"/>
  <c r="M76" i="44" s="1"/>
  <c r="L82" i="44"/>
  <c r="M82" i="44" s="1"/>
  <c r="J76" i="44"/>
  <c r="J82" i="44"/>
  <c r="N76" i="44"/>
  <c r="O76" i="44" s="1"/>
  <c r="N82" i="44"/>
  <c r="O82" i="44" s="1"/>
  <c r="W229" i="6"/>
  <c r="K18" i="35"/>
  <c r="K76" i="44" l="1"/>
  <c r="P76" i="44" s="1"/>
  <c r="U76" i="44"/>
  <c r="U82" i="44"/>
  <c r="U86" i="44"/>
  <c r="K86" i="44"/>
  <c r="P86" i="44" s="1"/>
  <c r="K82" i="44"/>
  <c r="P82" i="44" s="1"/>
  <c r="W230" i="6"/>
  <c r="W231" i="6" l="1"/>
  <c r="W232" i="6" s="1"/>
  <c r="W233" i="6" l="1"/>
  <c r="W234" i="6" s="1"/>
  <c r="W235" i="6" s="1"/>
  <c r="I390" i="6"/>
  <c r="H20" i="35" s="1"/>
  <c r="L20" i="35"/>
  <c r="C367" i="6" s="1"/>
  <c r="H367" i="6" s="1"/>
  <c r="J61" i="44" l="1"/>
  <c r="J68" i="44"/>
  <c r="J55" i="44"/>
  <c r="J20" i="35"/>
  <c r="I20" i="35"/>
  <c r="K61" i="44" l="1"/>
  <c r="K68" i="44"/>
  <c r="N61" i="44"/>
  <c r="O61" i="44" s="1"/>
  <c r="N68" i="44"/>
  <c r="O68" i="44" s="1"/>
  <c r="N55" i="44"/>
  <c r="O55" i="44" s="1"/>
  <c r="K55" i="44"/>
  <c r="L61" i="44"/>
  <c r="M61" i="44" s="1"/>
  <c r="L68" i="44"/>
  <c r="M68" i="44" s="1"/>
  <c r="L55" i="44"/>
  <c r="M55" i="44" s="1"/>
  <c r="K20" i="35"/>
  <c r="P61" i="44" l="1"/>
  <c r="U61" i="44"/>
  <c r="U68" i="44"/>
  <c r="U55" i="44"/>
  <c r="P55" i="44"/>
  <c r="P68" i="44"/>
  <c r="I414" i="6" l="1"/>
  <c r="W392" i="6" s="1"/>
  <c r="W393" i="6" s="1"/>
  <c r="W394" i="6" s="1"/>
  <c r="W395" i="6" s="1"/>
  <c r="W396" i="6" s="1"/>
  <c r="W397" i="6" s="1"/>
  <c r="W398" i="6" s="1"/>
  <c r="W399" i="6" s="1"/>
  <c r="W400" i="6" s="1"/>
  <c r="W401" i="6" s="1"/>
  <c r="W402" i="6" s="1"/>
  <c r="W403" i="6" s="1"/>
  <c r="W404" i="6" s="1"/>
  <c r="W405" i="6" s="1"/>
  <c r="W406" i="6" s="1"/>
  <c r="W407" i="6" s="1"/>
  <c r="W408" i="6" s="1"/>
  <c r="W409" i="6" s="1"/>
  <c r="W410" i="6" s="1"/>
  <c r="W411" i="6" s="1"/>
  <c r="W412" i="6" s="1"/>
  <c r="W413" i="6" s="1"/>
  <c r="W414" i="6" s="1"/>
  <c r="W415" i="6" s="1"/>
  <c r="W416" i="6" s="1"/>
  <c r="W417" i="6" s="1"/>
  <c r="L21" i="35"/>
  <c r="C393" i="6" s="1"/>
  <c r="H393" i="6" s="1"/>
  <c r="D393" i="6"/>
  <c r="H21" i="35" l="1"/>
  <c r="J21" i="35"/>
  <c r="I21" i="35"/>
  <c r="I440" i="6"/>
  <c r="W418" i="6" s="1"/>
  <c r="W419" i="6" s="1"/>
  <c r="W420" i="6" s="1"/>
  <c r="W421" i="6" s="1"/>
  <c r="W422" i="6" s="1"/>
  <c r="W423" i="6" s="1"/>
  <c r="W424" i="6" s="1"/>
  <c r="W425" i="6" s="1"/>
  <c r="W426" i="6" s="1"/>
  <c r="W427" i="6" s="1"/>
  <c r="W428" i="6" s="1"/>
  <c r="W429" i="6" s="1"/>
  <c r="W430" i="6" s="1"/>
  <c r="W431" i="6" s="1"/>
  <c r="W432" i="6" s="1"/>
  <c r="W433" i="6" s="1"/>
  <c r="W434" i="6" s="1"/>
  <c r="W435" i="6" s="1"/>
  <c r="W436" i="6" s="1"/>
  <c r="W437" i="6" s="1"/>
  <c r="W438" i="6" s="1"/>
  <c r="W439" i="6" s="1"/>
  <c r="W440" i="6" s="1"/>
  <c r="W441" i="6" s="1"/>
  <c r="W442" i="6" s="1"/>
  <c r="W443" i="6" s="1"/>
  <c r="Q505" i="6"/>
  <c r="T505" i="6" s="1"/>
  <c r="L22" i="35"/>
  <c r="C419" i="6" s="1"/>
  <c r="H419" i="6" s="1"/>
  <c r="D419" i="6"/>
  <c r="K21" i="35" l="1"/>
  <c r="J22" i="35"/>
  <c r="I22" i="35"/>
  <c r="H22" i="35"/>
  <c r="J505" i="6" l="1"/>
  <c r="K505" i="6" s="1"/>
  <c r="L505" i="6"/>
  <c r="M505" i="6" s="1"/>
  <c r="K22" i="35"/>
  <c r="N505" i="6"/>
  <c r="O505" i="6" s="1"/>
  <c r="Q583" i="6" l="1"/>
  <c r="T583" i="6" s="1"/>
  <c r="I466" i="6"/>
  <c r="W444" i="6" s="1"/>
  <c r="W445" i="6" s="1"/>
  <c r="W446" i="6" s="1"/>
  <c r="W447" i="6" s="1"/>
  <c r="W448" i="6" s="1"/>
  <c r="W449" i="6" s="1"/>
  <c r="W450" i="6" s="1"/>
  <c r="W451" i="6" s="1"/>
  <c r="W452" i="6" s="1"/>
  <c r="W453" i="6" s="1"/>
  <c r="W454" i="6" s="1"/>
  <c r="W455" i="6" s="1"/>
  <c r="W456" i="6" s="1"/>
  <c r="W457" i="6" s="1"/>
  <c r="W458" i="6" s="1"/>
  <c r="W459" i="6" s="1"/>
  <c r="W460" i="6" s="1"/>
  <c r="W461" i="6" s="1"/>
  <c r="W462" i="6" s="1"/>
  <c r="W463" i="6" s="1"/>
  <c r="W464" i="6" s="1"/>
  <c r="W465" i="6" s="1"/>
  <c r="W466" i="6" s="1"/>
  <c r="W467" i="6" s="1"/>
  <c r="W468" i="6" s="1"/>
  <c r="W469" i="6" s="1"/>
  <c r="L23" i="35"/>
  <c r="C445" i="6" s="1"/>
  <c r="H445" i="6" s="1"/>
  <c r="D445" i="6"/>
  <c r="H23" i="35" l="1"/>
  <c r="J583" i="6" s="1"/>
  <c r="K583" i="6" s="1"/>
  <c r="J23" i="35"/>
  <c r="I23" i="35"/>
  <c r="K23" i="35" l="1"/>
  <c r="N583" i="6"/>
  <c r="O583" i="6" s="1"/>
  <c r="L583" i="6"/>
  <c r="M583" i="6" s="1"/>
  <c r="Q557" i="6" l="1"/>
  <c r="T557" i="6" s="1"/>
  <c r="I492" i="6"/>
  <c r="W470" i="6" s="1"/>
  <c r="W471" i="6" s="1"/>
  <c r="W472" i="6" s="1"/>
  <c r="W473" i="6" s="1"/>
  <c r="W474" i="6" s="1"/>
  <c r="W475" i="6" s="1"/>
  <c r="W476" i="6" s="1"/>
  <c r="W477" i="6" s="1"/>
  <c r="W478" i="6" s="1"/>
  <c r="W479" i="6" s="1"/>
  <c r="W480" i="6" s="1"/>
  <c r="W481" i="6" s="1"/>
  <c r="W482" i="6" s="1"/>
  <c r="W483" i="6" s="1"/>
  <c r="W484" i="6" s="1"/>
  <c r="W485" i="6" s="1"/>
  <c r="W486" i="6" s="1"/>
  <c r="W487" i="6" s="1"/>
  <c r="W488" i="6" s="1"/>
  <c r="W489" i="6" s="1"/>
  <c r="W490" i="6" s="1"/>
  <c r="W491" i="6" s="1"/>
  <c r="W492" i="6" s="1"/>
  <c r="W493" i="6" s="1"/>
  <c r="W494" i="6" s="1"/>
  <c r="W495" i="6" s="1"/>
  <c r="L25" i="35"/>
  <c r="C471" i="6" s="1"/>
  <c r="H471" i="6" s="1"/>
  <c r="D471" i="6"/>
  <c r="H25" i="35" l="1"/>
  <c r="J25" i="35"/>
  <c r="I25" i="35"/>
  <c r="J557" i="6" l="1"/>
  <c r="K557" i="6" s="1"/>
  <c r="K25" i="35"/>
  <c r="N557" i="6"/>
  <c r="O557" i="6" s="1"/>
  <c r="L557" i="6"/>
  <c r="M557" i="6" s="1"/>
  <c r="I518" i="6" l="1"/>
  <c r="W496" i="6" s="1"/>
  <c r="W497" i="6" s="1"/>
  <c r="W498" i="6" s="1"/>
  <c r="W499" i="6" s="1"/>
  <c r="W500" i="6" s="1"/>
  <c r="W501" i="6" s="1"/>
  <c r="W502" i="6" s="1"/>
  <c r="W503" i="6" s="1"/>
  <c r="W504" i="6" s="1"/>
  <c r="W505" i="6" s="1"/>
  <c r="W506" i="6" s="1"/>
  <c r="W507" i="6" s="1"/>
  <c r="W508" i="6" s="1"/>
  <c r="W509" i="6" s="1"/>
  <c r="W510" i="6" s="1"/>
  <c r="W511" i="6" s="1"/>
  <c r="W512" i="6" s="1"/>
  <c r="W513" i="6" s="1"/>
  <c r="W514" i="6" s="1"/>
  <c r="W515" i="6" s="1"/>
  <c r="W516" i="6" s="1"/>
  <c r="W517" i="6" s="1"/>
  <c r="W518" i="6" s="1"/>
  <c r="W519" i="6" s="1"/>
  <c r="W520" i="6" s="1"/>
  <c r="W521" i="6" s="1"/>
  <c r="Q530" i="6"/>
  <c r="T530" i="6" s="1"/>
  <c r="Q556" i="6"/>
  <c r="T556" i="6" s="1"/>
  <c r="L26" i="35"/>
  <c r="C497" i="6" s="1"/>
  <c r="H497" i="6" s="1"/>
  <c r="D497" i="6"/>
  <c r="R47" i="35" l="1"/>
  <c r="R52" i="44" l="1"/>
  <c r="I544" i="6"/>
  <c r="W522" i="6" s="1"/>
  <c r="W523" i="6" s="1"/>
  <c r="W524" i="6" s="1"/>
  <c r="W525" i="6" s="1"/>
  <c r="W526" i="6" s="1"/>
  <c r="W527" i="6" s="1"/>
  <c r="W528" i="6" s="1"/>
  <c r="W529" i="6" s="1"/>
  <c r="W530" i="6" s="1"/>
  <c r="W531" i="6" s="1"/>
  <c r="W532" i="6" s="1"/>
  <c r="W533" i="6" s="1"/>
  <c r="W534" i="6" s="1"/>
  <c r="W535" i="6" s="1"/>
  <c r="W536" i="6" s="1"/>
  <c r="W537" i="6" s="1"/>
  <c r="W538" i="6" s="1"/>
  <c r="W539" i="6" s="1"/>
  <c r="W540" i="6" s="1"/>
  <c r="W541" i="6" s="1"/>
  <c r="W542" i="6" s="1"/>
  <c r="W543" i="6" s="1"/>
  <c r="W544" i="6" s="1"/>
  <c r="W545" i="6" s="1"/>
  <c r="W546" i="6" s="1"/>
  <c r="W547" i="6" s="1"/>
  <c r="L27" i="35"/>
  <c r="C523" i="6" s="1"/>
  <c r="H523" i="6" s="1"/>
  <c r="D523" i="6"/>
  <c r="I570" i="6" l="1"/>
  <c r="W548" i="6" s="1"/>
  <c r="W549" i="6" s="1"/>
  <c r="W550" i="6" s="1"/>
  <c r="W551" i="6" s="1"/>
  <c r="W552" i="6" s="1"/>
  <c r="W553" i="6" s="1"/>
  <c r="W554" i="6" s="1"/>
  <c r="W555" i="6" s="1"/>
  <c r="W556" i="6" s="1"/>
  <c r="W557" i="6" s="1"/>
  <c r="W558" i="6" s="1"/>
  <c r="W559" i="6" s="1"/>
  <c r="W560" i="6" s="1"/>
  <c r="W561" i="6" s="1"/>
  <c r="W562" i="6" s="1"/>
  <c r="W563" i="6" s="1"/>
  <c r="W564" i="6" s="1"/>
  <c r="W565" i="6" s="1"/>
  <c r="W566" i="6" s="1"/>
  <c r="W567" i="6" s="1"/>
  <c r="W568" i="6" s="1"/>
  <c r="W569" i="6" s="1"/>
  <c r="W570" i="6" s="1"/>
  <c r="W571" i="6" s="1"/>
  <c r="W572" i="6" s="1"/>
  <c r="W573" i="6" s="1"/>
  <c r="Q531" i="6"/>
  <c r="T531" i="6" s="1"/>
  <c r="Q584" i="6"/>
  <c r="T584" i="6" s="1"/>
  <c r="L28" i="35"/>
  <c r="C549" i="6" s="1"/>
  <c r="H549" i="6" s="1"/>
  <c r="D549" i="6"/>
  <c r="Q608" i="6" l="1"/>
  <c r="T608" i="6" s="1"/>
  <c r="I596" i="6"/>
  <c r="W574" i="6" s="1"/>
  <c r="W575" i="6" s="1"/>
  <c r="W576" i="6" s="1"/>
  <c r="W577" i="6" s="1"/>
  <c r="W578" i="6" s="1"/>
  <c r="W579" i="6" s="1"/>
  <c r="W580" i="6" s="1"/>
  <c r="W581" i="6" s="1"/>
  <c r="W582" i="6" s="1"/>
  <c r="W583" i="6" s="1"/>
  <c r="W584" i="6" s="1"/>
  <c r="W585" i="6" s="1"/>
  <c r="W586" i="6" s="1"/>
  <c r="W587" i="6" s="1"/>
  <c r="W588" i="6" s="1"/>
  <c r="W589" i="6" s="1"/>
  <c r="W590" i="6" s="1"/>
  <c r="W591" i="6" s="1"/>
  <c r="W592" i="6" s="1"/>
  <c r="W593" i="6" s="1"/>
  <c r="W594" i="6" s="1"/>
  <c r="W595" i="6" s="1"/>
  <c r="W596" i="6" s="1"/>
  <c r="W597" i="6" s="1"/>
  <c r="W598" i="6" s="1"/>
  <c r="W599" i="6" s="1"/>
  <c r="L29" i="35"/>
  <c r="C575" i="6" s="1"/>
  <c r="H575" i="6" s="1"/>
  <c r="D575" i="6"/>
  <c r="L30" i="35" l="1"/>
  <c r="C601" i="6" s="1"/>
  <c r="H601" i="6" s="1"/>
  <c r="I622" i="6"/>
  <c r="W600" i="6" s="1"/>
  <c r="W601" i="6" s="1"/>
  <c r="W602" i="6" s="1"/>
  <c r="W603" i="6" s="1"/>
  <c r="W604" i="6" s="1"/>
  <c r="W605" i="6" s="1"/>
  <c r="W606" i="6" s="1"/>
  <c r="W607" i="6" s="1"/>
  <c r="D601" i="6"/>
  <c r="W608" i="6" l="1"/>
  <c r="L31" i="35"/>
  <c r="C627" i="6" s="1"/>
  <c r="H627" i="6" s="1"/>
  <c r="I648" i="6"/>
  <c r="W626" i="6" s="1"/>
  <c r="W627" i="6" s="1"/>
  <c r="W628" i="6" s="1"/>
  <c r="W629" i="6" s="1"/>
  <c r="W630" i="6" s="1"/>
  <c r="W631" i="6" s="1"/>
  <c r="W632" i="6" s="1"/>
  <c r="W633" i="6" s="1"/>
  <c r="D627" i="6"/>
  <c r="W634" i="6" l="1"/>
  <c r="W609" i="6"/>
  <c r="W635" i="6" l="1"/>
  <c r="W610" i="6"/>
  <c r="W636" i="6" l="1"/>
  <c r="W611" i="6"/>
  <c r="W637" i="6" l="1"/>
  <c r="W612" i="6"/>
  <c r="W638" i="6" l="1"/>
  <c r="W639" i="6" s="1"/>
  <c r="W640" i="6" s="1"/>
  <c r="W641" i="6" s="1"/>
  <c r="W642" i="6" s="1"/>
  <c r="W643" i="6" s="1"/>
  <c r="W644" i="6" s="1"/>
  <c r="W645" i="6" s="1"/>
  <c r="W646" i="6" s="1"/>
  <c r="W647" i="6" s="1"/>
  <c r="W648" i="6" s="1"/>
  <c r="W649" i="6" s="1"/>
  <c r="W650" i="6" s="1"/>
  <c r="W651" i="6" s="1"/>
  <c r="W613" i="6"/>
  <c r="W614" i="6" l="1"/>
  <c r="W615" i="6" l="1"/>
  <c r="W616" i="6" l="1"/>
  <c r="W617" i="6" s="1"/>
  <c r="W618" i="6" s="1"/>
  <c r="W619" i="6" s="1"/>
  <c r="W620" i="6" s="1"/>
  <c r="W621" i="6" s="1"/>
  <c r="W622" i="6" s="1"/>
  <c r="W623" i="6" s="1"/>
  <c r="W624" i="6" s="1"/>
  <c r="W625" i="6" s="1"/>
  <c r="I674" i="6" l="1"/>
  <c r="D653" i="6"/>
  <c r="H32" i="35"/>
  <c r="L32" i="35"/>
  <c r="I32" i="35" l="1"/>
  <c r="W652" i="6"/>
  <c r="J32" i="35"/>
  <c r="C653" i="6"/>
  <c r="H653" i="6" s="1"/>
  <c r="W653" i="6" l="1"/>
  <c r="Y652" i="6"/>
  <c r="K32" i="35"/>
  <c r="W654" i="6" l="1"/>
  <c r="Y653" i="6"/>
  <c r="D679" i="6"/>
  <c r="L33" i="35"/>
  <c r="C679" i="6" s="1"/>
  <c r="H679" i="6" s="1"/>
  <c r="I700" i="6"/>
  <c r="W678" i="6" s="1"/>
  <c r="W655" i="6" l="1"/>
  <c r="Y654" i="6"/>
  <c r="W679" i="6"/>
  <c r="Y678" i="6"/>
  <c r="H33" i="35"/>
  <c r="J33" i="35"/>
  <c r="I33" i="35"/>
  <c r="L34" i="35"/>
  <c r="I726" i="6"/>
  <c r="W704" i="6" s="1"/>
  <c r="D705" i="6"/>
  <c r="W705" i="6" l="1"/>
  <c r="Y704" i="6"/>
  <c r="W680" i="6"/>
  <c r="Y679" i="6"/>
  <c r="W656" i="6"/>
  <c r="Y655" i="6"/>
  <c r="I34" i="35"/>
  <c r="H34" i="35"/>
  <c r="C705" i="6"/>
  <c r="H705" i="6" s="1"/>
  <c r="K33" i="35"/>
  <c r="J34" i="35"/>
  <c r="I752" i="6"/>
  <c r="W730" i="6" s="1"/>
  <c r="L35" i="35"/>
  <c r="C731" i="6" s="1"/>
  <c r="H731" i="6" s="1"/>
  <c r="D731" i="6"/>
  <c r="J35" i="35" l="1"/>
  <c r="W731" i="6"/>
  <c r="Y730" i="6"/>
  <c r="W657" i="6"/>
  <c r="Y656" i="6"/>
  <c r="W681" i="6"/>
  <c r="Y680" i="6"/>
  <c r="W706" i="6"/>
  <c r="Y705" i="6"/>
  <c r="H35" i="35"/>
  <c r="K34" i="35"/>
  <c r="I35" i="35"/>
  <c r="L36" i="35"/>
  <c r="C757" i="6" s="1"/>
  <c r="H757" i="6" s="1"/>
  <c r="D757" i="6"/>
  <c r="I778" i="6"/>
  <c r="W756" i="6" s="1"/>
  <c r="W707" i="6" l="1"/>
  <c r="Y706" i="6"/>
  <c r="W732" i="6"/>
  <c r="Y731" i="6"/>
  <c r="W757" i="6"/>
  <c r="Y756" i="6"/>
  <c r="W682" i="6"/>
  <c r="Y681" i="6"/>
  <c r="W658" i="6"/>
  <c r="Y657" i="6"/>
  <c r="J36" i="35"/>
  <c r="N65" i="44" s="1"/>
  <c r="O65" i="44" s="1"/>
  <c r="K35" i="35"/>
  <c r="H36" i="35"/>
  <c r="J65" i="44" s="1"/>
  <c r="I36" i="35"/>
  <c r="L65" i="44" s="1"/>
  <c r="M65" i="44" s="1"/>
  <c r="U65" i="44" l="1"/>
  <c r="K65" i="44"/>
  <c r="P65" i="44" s="1"/>
  <c r="N53" i="44"/>
  <c r="O53" i="44" s="1"/>
  <c r="N58" i="44"/>
  <c r="O58" i="44" s="1"/>
  <c r="J53" i="44"/>
  <c r="J58" i="44"/>
  <c r="L53" i="44"/>
  <c r="M53" i="44" s="1"/>
  <c r="L58" i="44"/>
  <c r="M58" i="44" s="1"/>
  <c r="W659" i="6"/>
  <c r="Y658" i="6"/>
  <c r="W683" i="6"/>
  <c r="Y682" i="6"/>
  <c r="W758" i="6"/>
  <c r="Y757" i="6"/>
  <c r="W708" i="6"/>
  <c r="Y707" i="6"/>
  <c r="W733" i="6"/>
  <c r="Y732" i="6"/>
  <c r="K36" i="35"/>
  <c r="U58" i="44" l="1"/>
  <c r="K53" i="44"/>
  <c r="P53" i="44" s="1"/>
  <c r="U53" i="44"/>
  <c r="K58" i="44"/>
  <c r="P58" i="44" s="1"/>
  <c r="W734" i="6"/>
  <c r="Y733" i="6"/>
  <c r="W709" i="6"/>
  <c r="Y708" i="6"/>
  <c r="W759" i="6"/>
  <c r="Y758" i="6"/>
  <c r="W660" i="6"/>
  <c r="Y659" i="6"/>
  <c r="W684" i="6"/>
  <c r="Y683" i="6"/>
  <c r="D783" i="6"/>
  <c r="I804" i="6"/>
  <c r="W782" i="6" s="1"/>
  <c r="L37" i="35"/>
  <c r="C783" i="6" s="1"/>
  <c r="H783" i="6" s="1"/>
  <c r="W783" i="6" l="1"/>
  <c r="Y782" i="6"/>
  <c r="W685" i="6"/>
  <c r="Y684" i="6"/>
  <c r="W661" i="6"/>
  <c r="Y660" i="6"/>
  <c r="W710" i="6"/>
  <c r="Y709" i="6"/>
  <c r="W735" i="6"/>
  <c r="Y734" i="6"/>
  <c r="W760" i="6"/>
  <c r="Y759" i="6"/>
  <c r="I37" i="35"/>
  <c r="H37" i="35"/>
  <c r="J37" i="35"/>
  <c r="W761" i="6" l="1"/>
  <c r="Y760" i="6"/>
  <c r="W736" i="6"/>
  <c r="Y735" i="6"/>
  <c r="W662" i="6"/>
  <c r="Y661" i="6"/>
  <c r="W784" i="6"/>
  <c r="Y783" i="6"/>
  <c r="W711" i="6"/>
  <c r="Y710" i="6"/>
  <c r="W686" i="6"/>
  <c r="Y685" i="6"/>
  <c r="K37" i="35"/>
  <c r="W687" i="6" l="1"/>
  <c r="Y686" i="6"/>
  <c r="W712" i="6"/>
  <c r="Y711" i="6"/>
  <c r="W737" i="6"/>
  <c r="Y736" i="6"/>
  <c r="W762" i="6"/>
  <c r="Y761" i="6"/>
  <c r="W785" i="6"/>
  <c r="Y784" i="6"/>
  <c r="W663" i="6"/>
  <c r="Y662" i="6"/>
  <c r="W664" i="6" l="1"/>
  <c r="Y663" i="6"/>
  <c r="W763" i="6"/>
  <c r="Y762" i="6"/>
  <c r="W713" i="6"/>
  <c r="Y712" i="6"/>
  <c r="W786" i="6"/>
  <c r="Y785" i="6"/>
  <c r="W738" i="6"/>
  <c r="Y737" i="6"/>
  <c r="W688" i="6"/>
  <c r="Y687" i="6"/>
  <c r="D809" i="6"/>
  <c r="I830" i="6"/>
  <c r="W808" i="6" s="1"/>
  <c r="L38" i="35"/>
  <c r="C809" i="6" s="1"/>
  <c r="H809" i="6" s="1"/>
  <c r="W787" i="6" l="1"/>
  <c r="Y786" i="6"/>
  <c r="W714" i="6"/>
  <c r="Y713" i="6"/>
  <c r="W764" i="6"/>
  <c r="Y763" i="6"/>
  <c r="W809" i="6"/>
  <c r="Y808" i="6"/>
  <c r="W689" i="6"/>
  <c r="Y688" i="6"/>
  <c r="W739" i="6"/>
  <c r="Y738" i="6"/>
  <c r="W665" i="6"/>
  <c r="Y664" i="6"/>
  <c r="J38" i="35"/>
  <c r="N83" i="44" s="1"/>
  <c r="O83" i="44" s="1"/>
  <c r="I38" i="35"/>
  <c r="L83" i="44" s="1"/>
  <c r="M83" i="44" s="1"/>
  <c r="H38" i="35"/>
  <c r="J83" i="44" s="1"/>
  <c r="L39" i="35"/>
  <c r="C835" i="6" s="1"/>
  <c r="H835" i="6" s="1"/>
  <c r="I856" i="6"/>
  <c r="W834" i="6" s="1"/>
  <c r="D835" i="6"/>
  <c r="U83" i="44" l="1"/>
  <c r="K83" i="44"/>
  <c r="P83" i="44" s="1"/>
  <c r="W740" i="6"/>
  <c r="Y739" i="6"/>
  <c r="W810" i="6"/>
  <c r="Y809" i="6"/>
  <c r="W715" i="6"/>
  <c r="Y714" i="6"/>
  <c r="W835" i="6"/>
  <c r="Y834" i="6"/>
  <c r="W666" i="6"/>
  <c r="Y665" i="6"/>
  <c r="W690" i="6"/>
  <c r="Y689" i="6"/>
  <c r="W765" i="6"/>
  <c r="Y764" i="6"/>
  <c r="W788" i="6"/>
  <c r="Y787" i="6"/>
  <c r="J39" i="35"/>
  <c r="N78" i="44" s="1"/>
  <c r="O78" i="44" s="1"/>
  <c r="H39" i="35"/>
  <c r="J78" i="44" s="1"/>
  <c r="I39" i="35"/>
  <c r="L78" i="44" s="1"/>
  <c r="M78" i="44" s="1"/>
  <c r="K38" i="35"/>
  <c r="K78" i="44" l="1"/>
  <c r="P78" i="44" s="1"/>
  <c r="U78" i="44"/>
  <c r="W766" i="6"/>
  <c r="Y765" i="6"/>
  <c r="W691" i="6"/>
  <c r="Y690" i="6"/>
  <c r="W836" i="6"/>
  <c r="Y835" i="6"/>
  <c r="W741" i="6"/>
  <c r="Y740" i="6"/>
  <c r="W789" i="6"/>
  <c r="Y788" i="6"/>
  <c r="W667" i="6"/>
  <c r="Y666" i="6"/>
  <c r="W716" i="6"/>
  <c r="Y715" i="6"/>
  <c r="W811" i="6"/>
  <c r="Y810" i="6"/>
  <c r="K39" i="35"/>
  <c r="I882" i="6"/>
  <c r="W860" i="6" s="1"/>
  <c r="L40" i="35"/>
  <c r="C861" i="6" s="1"/>
  <c r="H861" i="6" s="1"/>
  <c r="W717" i="6" l="1"/>
  <c r="Y716" i="6"/>
  <c r="W668" i="6"/>
  <c r="Y667" i="6"/>
  <c r="W837" i="6"/>
  <c r="Y836" i="6"/>
  <c r="W692" i="6"/>
  <c r="Y691" i="6"/>
  <c r="W812" i="6"/>
  <c r="Y811" i="6"/>
  <c r="W790" i="6"/>
  <c r="Y789" i="6"/>
  <c r="W742" i="6"/>
  <c r="Y741" i="6"/>
  <c r="W767" i="6"/>
  <c r="Y766" i="6"/>
  <c r="W861" i="6"/>
  <c r="Y860" i="6"/>
  <c r="I908" i="6"/>
  <c r="W886" i="6" s="1"/>
  <c r="L41" i="35"/>
  <c r="C887" i="6" s="1"/>
  <c r="H887" i="6" s="1"/>
  <c r="W887" i="6" l="1"/>
  <c r="Y886" i="6"/>
  <c r="W862" i="6"/>
  <c r="Y861" i="6"/>
  <c r="W743" i="6"/>
  <c r="Y742" i="6"/>
  <c r="W813" i="6"/>
  <c r="Y812" i="6"/>
  <c r="W838" i="6"/>
  <c r="Y837" i="6"/>
  <c r="W669" i="6"/>
  <c r="Y668" i="6"/>
  <c r="W768" i="6"/>
  <c r="Y767" i="6"/>
  <c r="W791" i="6"/>
  <c r="Y790" i="6"/>
  <c r="W693" i="6"/>
  <c r="Y692" i="6"/>
  <c r="W718" i="6"/>
  <c r="Y717" i="6"/>
  <c r="W719" i="6" l="1"/>
  <c r="Y718" i="6"/>
  <c r="W888" i="6"/>
  <c r="Y887" i="6"/>
  <c r="W769" i="6"/>
  <c r="Y768" i="6"/>
  <c r="W670" i="6"/>
  <c r="Y669" i="6"/>
  <c r="W839" i="6"/>
  <c r="Y838" i="6"/>
  <c r="W814" i="6"/>
  <c r="Y813" i="6"/>
  <c r="W744" i="6"/>
  <c r="Y743" i="6"/>
  <c r="W863" i="6"/>
  <c r="Y862" i="6"/>
  <c r="W694" i="6"/>
  <c r="Y693" i="6"/>
  <c r="W792" i="6"/>
  <c r="Y791" i="6"/>
  <c r="W745" i="6" l="1"/>
  <c r="Y744" i="6"/>
  <c r="W695" i="6"/>
  <c r="Y694" i="6"/>
  <c r="W864" i="6"/>
  <c r="Y863" i="6"/>
  <c r="W815" i="6"/>
  <c r="Y814" i="6"/>
  <c r="W671" i="6"/>
  <c r="Y670" i="6"/>
  <c r="W889" i="6"/>
  <c r="Y888" i="6"/>
  <c r="W720" i="6"/>
  <c r="Y719" i="6"/>
  <c r="W793" i="6"/>
  <c r="Y792" i="6"/>
  <c r="W840" i="6"/>
  <c r="Y839" i="6"/>
  <c r="W770" i="6"/>
  <c r="Y769" i="6"/>
  <c r="D887" i="6"/>
  <c r="D861" i="6"/>
  <c r="W841" i="6" l="1"/>
  <c r="Y840" i="6"/>
  <c r="W794" i="6"/>
  <c r="Y793" i="6"/>
  <c r="W721" i="6"/>
  <c r="Y720" i="6"/>
  <c r="W816" i="6"/>
  <c r="Y815" i="6"/>
  <c r="W746" i="6"/>
  <c r="Y745" i="6"/>
  <c r="W771" i="6"/>
  <c r="Y770" i="6"/>
  <c r="W890" i="6"/>
  <c r="Y889" i="6"/>
  <c r="W672" i="6"/>
  <c r="Y671" i="6"/>
  <c r="W865" i="6"/>
  <c r="Y864" i="6"/>
  <c r="W696" i="6"/>
  <c r="Y695" i="6"/>
  <c r="W697" i="6" l="1"/>
  <c r="Y696" i="6"/>
  <c r="W747" i="6"/>
  <c r="Y746" i="6"/>
  <c r="W866" i="6"/>
  <c r="Y865" i="6"/>
  <c r="W891" i="6"/>
  <c r="Y890" i="6"/>
  <c r="W795" i="6"/>
  <c r="Y794" i="6"/>
  <c r="W673" i="6"/>
  <c r="Y672" i="6"/>
  <c r="W772" i="6"/>
  <c r="Y771" i="6"/>
  <c r="W817" i="6"/>
  <c r="W818" i="6" s="1"/>
  <c r="Y816" i="6"/>
  <c r="W722" i="6"/>
  <c r="Y721" i="6"/>
  <c r="W842" i="6"/>
  <c r="Y841" i="6"/>
  <c r="Y818" i="6" l="1"/>
  <c r="W819" i="6"/>
  <c r="Y819" i="6" s="1"/>
  <c r="W723" i="6"/>
  <c r="Y722" i="6"/>
  <c r="W674" i="6"/>
  <c r="Y673" i="6"/>
  <c r="W796" i="6"/>
  <c r="Y795" i="6"/>
  <c r="W867" i="6"/>
  <c r="Y866" i="6"/>
  <c r="W698" i="6"/>
  <c r="Y697" i="6"/>
  <c r="W843" i="6"/>
  <c r="W844" i="6" s="1"/>
  <c r="Y842" i="6"/>
  <c r="Y817" i="6"/>
  <c r="W773" i="6"/>
  <c r="Y772" i="6"/>
  <c r="W892" i="6"/>
  <c r="Y891" i="6"/>
  <c r="W748" i="6"/>
  <c r="Y747" i="6"/>
  <c r="R98" i="44"/>
  <c r="W845" i="6" l="1"/>
  <c r="Y844" i="6"/>
  <c r="W749" i="6"/>
  <c r="Y748" i="6"/>
  <c r="W893" i="6"/>
  <c r="Y892" i="6"/>
  <c r="W675" i="6"/>
  <c r="Y674" i="6"/>
  <c r="W724" i="6"/>
  <c r="Y723" i="6"/>
  <c r="W774" i="6"/>
  <c r="Y773" i="6"/>
  <c r="Y843" i="6"/>
  <c r="W699" i="6"/>
  <c r="Y698" i="6"/>
  <c r="W868" i="6"/>
  <c r="Y867" i="6"/>
  <c r="W797" i="6"/>
  <c r="Y796" i="6"/>
  <c r="W846" i="6" l="1"/>
  <c r="Y846" i="6" s="1"/>
  <c r="Y845" i="6"/>
  <c r="W798" i="6"/>
  <c r="Y797" i="6"/>
  <c r="W869" i="6"/>
  <c r="Y868" i="6"/>
  <c r="W725" i="6"/>
  <c r="Y724" i="6"/>
  <c r="W820" i="6"/>
  <c r="W894" i="6"/>
  <c r="Y893" i="6"/>
  <c r="W700" i="6"/>
  <c r="Y699" i="6"/>
  <c r="W775" i="6"/>
  <c r="Y774" i="6"/>
  <c r="W676" i="6"/>
  <c r="Y675" i="6"/>
  <c r="W750" i="6"/>
  <c r="Y749" i="6"/>
  <c r="I934" i="6"/>
  <c r="W912" i="6" s="1"/>
  <c r="Q895" i="6"/>
  <c r="T895" i="6" s="1"/>
  <c r="L42" i="35"/>
  <c r="C913" i="6" s="1"/>
  <c r="H913" i="6" s="1"/>
  <c r="Q869" i="6"/>
  <c r="T869" i="6" s="1"/>
  <c r="J42" i="35" l="1"/>
  <c r="N869" i="6" s="1"/>
  <c r="O869" i="6" s="1"/>
  <c r="O882" i="6" s="1"/>
  <c r="I42" i="35"/>
  <c r="L869" i="6" s="1"/>
  <c r="M869" i="6" s="1"/>
  <c r="M882" i="6" s="1"/>
  <c r="W751" i="6"/>
  <c r="Y750" i="6"/>
  <c r="W776" i="6"/>
  <c r="Y775" i="6"/>
  <c r="W726" i="6"/>
  <c r="Y725" i="6"/>
  <c r="W870" i="6"/>
  <c r="Y869" i="6"/>
  <c r="W677" i="6"/>
  <c r="Y677" i="6" s="1"/>
  <c r="Y676" i="6"/>
  <c r="W701" i="6"/>
  <c r="Y700" i="6"/>
  <c r="W895" i="6"/>
  <c r="Y894" i="6"/>
  <c r="W821" i="6"/>
  <c r="Y820" i="6"/>
  <c r="W799" i="6"/>
  <c r="Y798" i="6"/>
  <c r="W913" i="6"/>
  <c r="Y912" i="6"/>
  <c r="H42" i="35"/>
  <c r="D913" i="6"/>
  <c r="L43" i="35"/>
  <c r="C939" i="6" s="1"/>
  <c r="H939" i="6" s="1"/>
  <c r="I960" i="6"/>
  <c r="W938" i="6" s="1"/>
  <c r="D965" i="6"/>
  <c r="D939" i="6"/>
  <c r="N895" i="6" l="1"/>
  <c r="O895" i="6" s="1"/>
  <c r="O908" i="6" s="1"/>
  <c r="N890" i="6" s="1"/>
  <c r="L895" i="6"/>
  <c r="M895" i="6" s="1"/>
  <c r="M908" i="6" s="1"/>
  <c r="I41" i="35" s="1"/>
  <c r="L98" i="44" s="1"/>
  <c r="M98" i="44" s="1"/>
  <c r="W800" i="6"/>
  <c r="Y799" i="6"/>
  <c r="W896" i="6"/>
  <c r="Y895" i="6"/>
  <c r="W702" i="6"/>
  <c r="Y701" i="6"/>
  <c r="W777" i="6"/>
  <c r="Y776" i="6"/>
  <c r="W752" i="6"/>
  <c r="Y751" i="6"/>
  <c r="W914" i="6"/>
  <c r="Y913" i="6"/>
  <c r="W847" i="6"/>
  <c r="W822" i="6"/>
  <c r="Y821" i="6"/>
  <c r="W871" i="6"/>
  <c r="Y870" i="6"/>
  <c r="W727" i="6"/>
  <c r="Y726" i="6"/>
  <c r="W939" i="6"/>
  <c r="Y938" i="6"/>
  <c r="I43" i="35"/>
  <c r="L87" i="44" s="1"/>
  <c r="M87" i="44" s="1"/>
  <c r="K42" i="35"/>
  <c r="J895" i="6"/>
  <c r="K895" i="6" s="1"/>
  <c r="K908" i="6" s="1"/>
  <c r="H41" i="35" s="1"/>
  <c r="J98" i="44" s="1"/>
  <c r="J869" i="6"/>
  <c r="K869" i="6" s="1"/>
  <c r="K882" i="6" s="1"/>
  <c r="J864" i="6" s="1"/>
  <c r="L864" i="6"/>
  <c r="I40" i="35"/>
  <c r="J43" i="35"/>
  <c r="N87" i="44" s="1"/>
  <c r="O87" i="44" s="1"/>
  <c r="H43" i="35"/>
  <c r="J87" i="44" s="1"/>
  <c r="N864" i="6"/>
  <c r="J40" i="35"/>
  <c r="I986" i="6"/>
  <c r="W964" i="6" s="1"/>
  <c r="L44" i="35"/>
  <c r="C965" i="6" s="1"/>
  <c r="H965" i="6" s="1"/>
  <c r="U87" i="44" l="1"/>
  <c r="J41" i="35"/>
  <c r="N98" i="44" s="1"/>
  <c r="O98" i="44" s="1"/>
  <c r="N119" i="44"/>
  <c r="O119" i="44" s="1"/>
  <c r="N126" i="44"/>
  <c r="O126" i="44" s="1"/>
  <c r="N123" i="44"/>
  <c r="O123" i="44" s="1"/>
  <c r="N116" i="44"/>
  <c r="O116" i="44" s="1"/>
  <c r="L126" i="44"/>
  <c r="M126" i="44" s="1"/>
  <c r="L123" i="44"/>
  <c r="M123" i="44" s="1"/>
  <c r="L119" i="44"/>
  <c r="M119" i="44" s="1"/>
  <c r="L116" i="44"/>
  <c r="M116" i="44" s="1"/>
  <c r="N108" i="44"/>
  <c r="O108" i="44" s="1"/>
  <c r="N111" i="44"/>
  <c r="O111" i="44" s="1"/>
  <c r="L108" i="44"/>
  <c r="M108" i="44" s="1"/>
  <c r="L111" i="44"/>
  <c r="M111" i="44" s="1"/>
  <c r="L104" i="44"/>
  <c r="M104" i="44" s="1"/>
  <c r="L101" i="44"/>
  <c r="M101" i="44" s="1"/>
  <c r="K98" i="44"/>
  <c r="N101" i="44"/>
  <c r="O101" i="44" s="1"/>
  <c r="N104" i="44"/>
  <c r="O104" i="44" s="1"/>
  <c r="K87" i="44"/>
  <c r="P87" i="44" s="1"/>
  <c r="L59" i="44"/>
  <c r="M59" i="44" s="1"/>
  <c r="L66" i="44"/>
  <c r="M66" i="44" s="1"/>
  <c r="N59" i="44"/>
  <c r="O59" i="44" s="1"/>
  <c r="N66" i="44"/>
  <c r="O66" i="44" s="1"/>
  <c r="J59" i="44"/>
  <c r="J66" i="44"/>
  <c r="L890" i="6"/>
  <c r="Q609" i="6"/>
  <c r="T609" i="6" s="1"/>
  <c r="W940" i="6"/>
  <c r="Y939" i="6"/>
  <c r="W728" i="6"/>
  <c r="Y727" i="6"/>
  <c r="W823" i="6"/>
  <c r="Y822" i="6"/>
  <c r="W915" i="6"/>
  <c r="Y914" i="6"/>
  <c r="W897" i="6"/>
  <c r="Y896" i="6"/>
  <c r="W801" i="6"/>
  <c r="Y800" i="6"/>
  <c r="W872" i="6"/>
  <c r="Y871" i="6"/>
  <c r="W848" i="6"/>
  <c r="Y847" i="6"/>
  <c r="W753" i="6"/>
  <c r="Y752" i="6"/>
  <c r="W778" i="6"/>
  <c r="Y777" i="6"/>
  <c r="W703" i="6"/>
  <c r="Y703" i="6" s="1"/>
  <c r="Y702" i="6"/>
  <c r="W965" i="6"/>
  <c r="Y964" i="6"/>
  <c r="I44" i="35"/>
  <c r="H40" i="35"/>
  <c r="K43" i="35"/>
  <c r="J890" i="6"/>
  <c r="J44" i="35"/>
  <c r="H44" i="35"/>
  <c r="Q864" i="6"/>
  <c r="T864" i="6" s="1"/>
  <c r="I1012" i="6"/>
  <c r="W990" i="6" s="1"/>
  <c r="D991" i="6"/>
  <c r="L45" i="35"/>
  <c r="C991" i="6" s="1"/>
  <c r="H991" i="6" s="1"/>
  <c r="U66" i="44" l="1"/>
  <c r="U59" i="44"/>
  <c r="U98" i="44"/>
  <c r="K41" i="35"/>
  <c r="P98" i="44"/>
  <c r="J126" i="44"/>
  <c r="U126" i="44" s="1"/>
  <c r="J116" i="44"/>
  <c r="U116" i="44" s="1"/>
  <c r="J119" i="44"/>
  <c r="U119" i="44" s="1"/>
  <c r="J123" i="44"/>
  <c r="U123" i="44" s="1"/>
  <c r="J108" i="44"/>
  <c r="U108" i="44" s="1"/>
  <c r="J111" i="44"/>
  <c r="U111" i="44" s="1"/>
  <c r="J104" i="44"/>
  <c r="U104" i="44" s="1"/>
  <c r="J101" i="44"/>
  <c r="U101" i="44" s="1"/>
  <c r="K66" i="44"/>
  <c r="P66" i="44" s="1"/>
  <c r="K59" i="44"/>
  <c r="P59" i="44" s="1"/>
  <c r="Q890" i="6"/>
  <c r="T890" i="6" s="1"/>
  <c r="R57" i="44"/>
  <c r="K40" i="35"/>
  <c r="W966" i="6"/>
  <c r="Y965" i="6"/>
  <c r="W754" i="6"/>
  <c r="Y753" i="6"/>
  <c r="W873" i="6"/>
  <c r="Y872" i="6"/>
  <c r="W802" i="6"/>
  <c r="Y801" i="6"/>
  <c r="W916" i="6"/>
  <c r="Y915" i="6"/>
  <c r="W729" i="6"/>
  <c r="Y729" i="6" s="1"/>
  <c r="Y728" i="6"/>
  <c r="W941" i="6"/>
  <c r="Y940" i="6"/>
  <c r="W991" i="6"/>
  <c r="Y990" i="6"/>
  <c r="W779" i="6"/>
  <c r="Y778" i="6"/>
  <c r="W849" i="6"/>
  <c r="Y848" i="6"/>
  <c r="W898" i="6"/>
  <c r="Y897" i="6"/>
  <c r="W824" i="6"/>
  <c r="Y823" i="6"/>
  <c r="H45" i="35"/>
  <c r="I45" i="35"/>
  <c r="J45" i="35"/>
  <c r="K44" i="35"/>
  <c r="L46" i="35"/>
  <c r="C1017" i="6" s="1"/>
  <c r="H1017" i="6" s="1"/>
  <c r="Q1111" i="6"/>
  <c r="T1111" i="6" s="1"/>
  <c r="Q1186" i="6"/>
  <c r="T1186" i="6" s="1"/>
  <c r="Q1160" i="6"/>
  <c r="T1160" i="6" s="1"/>
  <c r="I1038" i="6"/>
  <c r="W1016" i="6" s="1"/>
  <c r="Q1086" i="6"/>
  <c r="T1086" i="6" s="1"/>
  <c r="Q1138" i="6"/>
  <c r="T1138" i="6" s="1"/>
  <c r="D1017" i="6"/>
  <c r="U32" i="44" l="1"/>
  <c r="K126" i="44"/>
  <c r="P126" i="44" s="1"/>
  <c r="K116" i="44"/>
  <c r="P116" i="44" s="1"/>
  <c r="K119" i="44"/>
  <c r="P119" i="44" s="1"/>
  <c r="K123" i="44"/>
  <c r="P123" i="44" s="1"/>
  <c r="K111" i="44"/>
  <c r="P111" i="44" s="1"/>
  <c r="K108" i="44"/>
  <c r="P108" i="44" s="1"/>
  <c r="K104" i="44"/>
  <c r="P104" i="44" s="1"/>
  <c r="K101" i="44"/>
  <c r="P101" i="44" s="1"/>
  <c r="L609" i="6"/>
  <c r="M609" i="6" s="1"/>
  <c r="N609" i="6"/>
  <c r="O609" i="6" s="1"/>
  <c r="J609" i="6"/>
  <c r="K609" i="6" s="1"/>
  <c r="Q610" i="6"/>
  <c r="T610" i="6" s="1"/>
  <c r="W825" i="6"/>
  <c r="Y824" i="6"/>
  <c r="W850" i="6"/>
  <c r="Y849" i="6"/>
  <c r="W992" i="6"/>
  <c r="Y991" i="6"/>
  <c r="W917" i="6"/>
  <c r="Y916" i="6"/>
  <c r="W874" i="6"/>
  <c r="Y873" i="6"/>
  <c r="W755" i="6"/>
  <c r="Y755" i="6" s="1"/>
  <c r="Y754" i="6"/>
  <c r="W967" i="6"/>
  <c r="Y966" i="6"/>
  <c r="W1017" i="6"/>
  <c r="Y1016" i="6"/>
  <c r="W899" i="6"/>
  <c r="Y898" i="6"/>
  <c r="W780" i="6"/>
  <c r="Y779" i="6"/>
  <c r="W942" i="6"/>
  <c r="Y941" i="6"/>
  <c r="W803" i="6"/>
  <c r="Y802" i="6"/>
  <c r="K45" i="35"/>
  <c r="J46" i="35"/>
  <c r="H46" i="35"/>
  <c r="I46" i="35"/>
  <c r="Q506" i="6"/>
  <c r="T506" i="6" s="1"/>
  <c r="L47" i="35"/>
  <c r="C1043" i="6" s="1"/>
  <c r="H1043" i="6" s="1"/>
  <c r="D1043" i="6"/>
  <c r="I1064" i="6"/>
  <c r="W1042" i="6" s="1"/>
  <c r="W804" i="6" l="1"/>
  <c r="Y803" i="6"/>
  <c r="W1018" i="6"/>
  <c r="Y1017" i="6"/>
  <c r="W993" i="6"/>
  <c r="Y992" i="6"/>
  <c r="W851" i="6"/>
  <c r="Y850" i="6"/>
  <c r="W1043" i="6"/>
  <c r="Y1042" i="6"/>
  <c r="W943" i="6"/>
  <c r="Y942" i="6"/>
  <c r="W781" i="6"/>
  <c r="Y781" i="6" s="1"/>
  <c r="Y780" i="6"/>
  <c r="W900" i="6"/>
  <c r="Y899" i="6"/>
  <c r="W968" i="6"/>
  <c r="Y967" i="6"/>
  <c r="W875" i="6"/>
  <c r="Y874" i="6"/>
  <c r="W918" i="6"/>
  <c r="Y917" i="6"/>
  <c r="W826" i="6"/>
  <c r="Y825" i="6"/>
  <c r="N1086" i="6"/>
  <c r="O1086" i="6" s="1"/>
  <c r="O1090" i="6" s="1"/>
  <c r="N1072" i="6" s="1"/>
  <c r="N1160" i="6"/>
  <c r="O1160" i="6" s="1"/>
  <c r="O1168" i="6" s="1"/>
  <c r="N1150" i="6" s="1"/>
  <c r="J1111" i="6"/>
  <c r="K1111" i="6" s="1"/>
  <c r="K1116" i="6" s="1"/>
  <c r="J1098" i="6" s="1"/>
  <c r="L1138" i="6"/>
  <c r="M1138" i="6" s="1"/>
  <c r="M1142" i="6" s="1"/>
  <c r="L1124" i="6" s="1"/>
  <c r="L1186" i="6"/>
  <c r="M1186" i="6" s="1"/>
  <c r="M1194" i="6" s="1"/>
  <c r="L1176" i="6" s="1"/>
  <c r="L1160" i="6"/>
  <c r="M1160" i="6" s="1"/>
  <c r="M1168" i="6" s="1"/>
  <c r="L1150" i="6" s="1"/>
  <c r="L1111" i="6"/>
  <c r="M1111" i="6" s="1"/>
  <c r="M1116" i="6" s="1"/>
  <c r="L1098" i="6" s="1"/>
  <c r="L1086" i="6"/>
  <c r="M1086" i="6" s="1"/>
  <c r="M1090" i="6" s="1"/>
  <c r="L1072" i="6" s="1"/>
  <c r="N1111" i="6"/>
  <c r="O1111" i="6" s="1"/>
  <c r="O1116" i="6" s="1"/>
  <c r="N1098" i="6" s="1"/>
  <c r="N1138" i="6"/>
  <c r="O1138" i="6" s="1"/>
  <c r="O1142" i="6" s="1"/>
  <c r="N1124" i="6" s="1"/>
  <c r="N1186" i="6"/>
  <c r="O1186" i="6" s="1"/>
  <c r="O1194" i="6" s="1"/>
  <c r="N1176" i="6" s="1"/>
  <c r="J1160" i="6"/>
  <c r="K1160" i="6" s="1"/>
  <c r="K1168" i="6" s="1"/>
  <c r="J1150" i="6" s="1"/>
  <c r="J1186" i="6"/>
  <c r="K1186" i="6" s="1"/>
  <c r="K1194" i="6" s="1"/>
  <c r="J1176" i="6" s="1"/>
  <c r="J1138" i="6"/>
  <c r="K1138" i="6" s="1"/>
  <c r="K1142" i="6" s="1"/>
  <c r="J1124" i="6" s="1"/>
  <c r="K46" i="35"/>
  <c r="J1086" i="6"/>
  <c r="K1086" i="6" s="1"/>
  <c r="K1090" i="6" s="1"/>
  <c r="J1072" i="6" s="1"/>
  <c r="H47" i="35"/>
  <c r="I47" i="35"/>
  <c r="J47" i="35"/>
  <c r="I1090" i="6"/>
  <c r="W1068" i="6" s="1"/>
  <c r="D1069" i="6"/>
  <c r="L48" i="35"/>
  <c r="C1069" i="6" s="1"/>
  <c r="H1069" i="6" s="1"/>
  <c r="W1069" i="6" l="1"/>
  <c r="Y1068" i="6"/>
  <c r="W827" i="6"/>
  <c r="Y826" i="6"/>
  <c r="W876" i="6"/>
  <c r="Y875" i="6"/>
  <c r="W1044" i="6"/>
  <c r="Y1043" i="6"/>
  <c r="W994" i="6"/>
  <c r="Y993" i="6"/>
  <c r="W1019" i="6"/>
  <c r="Y1018" i="6"/>
  <c r="W919" i="6"/>
  <c r="Y918" i="6"/>
  <c r="W969" i="6"/>
  <c r="Y968" i="6"/>
  <c r="W901" i="6"/>
  <c r="Y900" i="6"/>
  <c r="W944" i="6"/>
  <c r="Y943" i="6"/>
  <c r="W852" i="6"/>
  <c r="Y851" i="6"/>
  <c r="W805" i="6"/>
  <c r="Y804" i="6"/>
  <c r="Q1176" i="6"/>
  <c r="T1176" i="6" s="1"/>
  <c r="Q1072" i="6"/>
  <c r="T1072" i="6" s="1"/>
  <c r="Q1098" i="6"/>
  <c r="T1098" i="6" s="1"/>
  <c r="Q1150" i="6"/>
  <c r="T1150" i="6" s="1"/>
  <c r="Q1124" i="6"/>
  <c r="T1124" i="6" s="1"/>
  <c r="H48" i="35"/>
  <c r="J88" i="44" s="1"/>
  <c r="L506" i="6"/>
  <c r="M506" i="6" s="1"/>
  <c r="M518" i="6" s="1"/>
  <c r="L500" i="6" s="1"/>
  <c r="J48" i="35"/>
  <c r="N88" i="44" s="1"/>
  <c r="O88" i="44" s="1"/>
  <c r="K47" i="35"/>
  <c r="I48" i="35"/>
  <c r="L88" i="44" s="1"/>
  <c r="M88" i="44" s="1"/>
  <c r="J506" i="6"/>
  <c r="K506" i="6" s="1"/>
  <c r="K518" i="6" s="1"/>
  <c r="N506" i="6"/>
  <c r="O506" i="6" s="1"/>
  <c r="O518" i="6" s="1"/>
  <c r="D1095" i="6"/>
  <c r="I1116" i="6"/>
  <c r="W1094" i="6" s="1"/>
  <c r="L49" i="35"/>
  <c r="C1095" i="6" s="1"/>
  <c r="H1095" i="6" s="1"/>
  <c r="U88" i="44" l="1"/>
  <c r="K88" i="44"/>
  <c r="P88" i="44" s="1"/>
  <c r="L57" i="44"/>
  <c r="M57" i="44" s="1"/>
  <c r="J57" i="44"/>
  <c r="N57" i="44"/>
  <c r="O57" i="44" s="1"/>
  <c r="W806" i="6"/>
  <c r="Y805" i="6"/>
  <c r="W853" i="6"/>
  <c r="Y852" i="6"/>
  <c r="W902" i="6"/>
  <c r="Y901" i="6"/>
  <c r="W920" i="6"/>
  <c r="Y919" i="6"/>
  <c r="W995" i="6"/>
  <c r="Y994" i="6"/>
  <c r="W1045" i="6"/>
  <c r="Y1044" i="6"/>
  <c r="W1070" i="6"/>
  <c r="Y1069" i="6"/>
  <c r="W945" i="6"/>
  <c r="Y944" i="6"/>
  <c r="W970" i="6"/>
  <c r="Y969" i="6"/>
  <c r="W1020" i="6"/>
  <c r="Y1019" i="6"/>
  <c r="W877" i="6"/>
  <c r="Y876" i="6"/>
  <c r="W828" i="6"/>
  <c r="Y827" i="6"/>
  <c r="W1095" i="6"/>
  <c r="Y1094" i="6"/>
  <c r="I49" i="35"/>
  <c r="J49" i="35"/>
  <c r="I26" i="35"/>
  <c r="L121" i="44" s="1"/>
  <c r="M121" i="44" s="1"/>
  <c r="K48" i="35"/>
  <c r="H49" i="35"/>
  <c r="N500" i="6"/>
  <c r="J26" i="35"/>
  <c r="N121" i="44" s="1"/>
  <c r="O121" i="44" s="1"/>
  <c r="J500" i="6"/>
  <c r="H26" i="35"/>
  <c r="J121" i="44" s="1"/>
  <c r="D1121" i="6"/>
  <c r="L50" i="35"/>
  <c r="C1121" i="6" s="1"/>
  <c r="H1121" i="6" s="1"/>
  <c r="I1142" i="6"/>
  <c r="W1120" i="6" s="1"/>
  <c r="U121" i="44" l="1"/>
  <c r="U57" i="44"/>
  <c r="K121" i="44"/>
  <c r="P121" i="44" s="1"/>
  <c r="K57" i="44"/>
  <c r="P57" i="44" s="1"/>
  <c r="L610" i="6"/>
  <c r="M610" i="6" s="1"/>
  <c r="N610" i="6"/>
  <c r="O610" i="6" s="1"/>
  <c r="J610" i="6"/>
  <c r="K610" i="6" s="1"/>
  <c r="W1096" i="6"/>
  <c r="Y1095" i="6"/>
  <c r="W878" i="6"/>
  <c r="Y877" i="6"/>
  <c r="W971" i="6"/>
  <c r="Y970" i="6"/>
  <c r="W1071" i="6"/>
  <c r="Y1070" i="6"/>
  <c r="W996" i="6"/>
  <c r="Y995" i="6"/>
  <c r="W903" i="6"/>
  <c r="Y902" i="6"/>
  <c r="W854" i="6"/>
  <c r="Y853" i="6"/>
  <c r="W807" i="6"/>
  <c r="Y807" i="6" s="1"/>
  <c r="Y806" i="6"/>
  <c r="W1121" i="6"/>
  <c r="Y1120" i="6"/>
  <c r="W829" i="6"/>
  <c r="Y828" i="6"/>
  <c r="W1021" i="6"/>
  <c r="Y1020" i="6"/>
  <c r="W946" i="6"/>
  <c r="Y945" i="6"/>
  <c r="W1046" i="6"/>
  <c r="Y1045" i="6"/>
  <c r="W921" i="6"/>
  <c r="Y920" i="6"/>
  <c r="L530" i="6"/>
  <c r="M530" i="6" s="1"/>
  <c r="K49" i="35"/>
  <c r="L556" i="6"/>
  <c r="M556" i="6" s="1"/>
  <c r="M570" i="6" s="1"/>
  <c r="I28" i="35" s="1"/>
  <c r="J50" i="35"/>
  <c r="N530" i="6"/>
  <c r="O530" i="6" s="1"/>
  <c r="N556" i="6"/>
  <c r="O556" i="6" s="1"/>
  <c r="O570" i="6" s="1"/>
  <c r="I50" i="35"/>
  <c r="Q500" i="6"/>
  <c r="T500" i="6" s="1"/>
  <c r="J530" i="6"/>
  <c r="K530" i="6" s="1"/>
  <c r="K26" i="35"/>
  <c r="J556" i="6"/>
  <c r="K556" i="6" s="1"/>
  <c r="K570" i="6" s="1"/>
  <c r="H50" i="35"/>
  <c r="W947" i="6" l="1"/>
  <c r="Y946" i="6"/>
  <c r="W1022" i="6"/>
  <c r="Y1021" i="6"/>
  <c r="W830" i="6"/>
  <c r="Y829" i="6"/>
  <c r="W904" i="6"/>
  <c r="Y903" i="6"/>
  <c r="W997" i="6"/>
  <c r="Y996" i="6"/>
  <c r="W1072" i="6"/>
  <c r="Y1071" i="6"/>
  <c r="W972" i="6"/>
  <c r="Y971" i="6"/>
  <c r="W1097" i="6"/>
  <c r="Y1096" i="6"/>
  <c r="W922" i="6"/>
  <c r="Y921" i="6"/>
  <c r="W1047" i="6"/>
  <c r="Y1046" i="6"/>
  <c r="W1122" i="6"/>
  <c r="Y1121" i="6"/>
  <c r="W855" i="6"/>
  <c r="Y854" i="6"/>
  <c r="W879" i="6"/>
  <c r="Y878" i="6"/>
  <c r="L552" i="6"/>
  <c r="K50" i="35"/>
  <c r="L531" i="6"/>
  <c r="M531" i="6" s="1"/>
  <c r="M544" i="6" s="1"/>
  <c r="L584" i="6"/>
  <c r="M584" i="6" s="1"/>
  <c r="M596" i="6" s="1"/>
  <c r="N552" i="6"/>
  <c r="J28" i="35"/>
  <c r="J552" i="6"/>
  <c r="H28" i="35"/>
  <c r="W856" i="6" l="1"/>
  <c r="Y855" i="6"/>
  <c r="W923" i="6"/>
  <c r="Y922" i="6"/>
  <c r="W1073" i="6"/>
  <c r="Y1072" i="6"/>
  <c r="W905" i="6"/>
  <c r="Y904" i="6"/>
  <c r="W1023" i="6"/>
  <c r="Y1022" i="6"/>
  <c r="W880" i="6"/>
  <c r="Y879" i="6"/>
  <c r="W1123" i="6"/>
  <c r="Y1122" i="6"/>
  <c r="W1048" i="6"/>
  <c r="Y1047" i="6"/>
  <c r="W1098" i="6"/>
  <c r="Y1097" i="6"/>
  <c r="W973" i="6"/>
  <c r="Y972" i="6"/>
  <c r="W998" i="6"/>
  <c r="Y997" i="6"/>
  <c r="W831" i="6"/>
  <c r="Y830" i="6"/>
  <c r="W948" i="6"/>
  <c r="Y947" i="6"/>
  <c r="Q552" i="6"/>
  <c r="T552" i="6" s="1"/>
  <c r="L526" i="6"/>
  <c r="I27" i="35"/>
  <c r="L106" i="44" s="1"/>
  <c r="M106" i="44" s="1"/>
  <c r="N531" i="6"/>
  <c r="O531" i="6" s="1"/>
  <c r="O544" i="6" s="1"/>
  <c r="N584" i="6"/>
  <c r="O584" i="6" s="1"/>
  <c r="O596" i="6" s="1"/>
  <c r="J584" i="6"/>
  <c r="K584" i="6" s="1"/>
  <c r="K596" i="6" s="1"/>
  <c r="J531" i="6"/>
  <c r="K531" i="6" s="1"/>
  <c r="K544" i="6" s="1"/>
  <c r="K28" i="35"/>
  <c r="L578" i="6"/>
  <c r="I29" i="35"/>
  <c r="L85" i="44" l="1"/>
  <c r="M85" i="44" s="1"/>
  <c r="L608" i="6"/>
  <c r="M608" i="6" s="1"/>
  <c r="M622" i="6" s="1"/>
  <c r="W949" i="6"/>
  <c r="Y948" i="6"/>
  <c r="W999" i="6"/>
  <c r="Y998" i="6"/>
  <c r="W1099" i="6"/>
  <c r="Y1098" i="6"/>
  <c r="W906" i="6"/>
  <c r="Y905" i="6"/>
  <c r="W857" i="6"/>
  <c r="Y856" i="6"/>
  <c r="W832" i="6"/>
  <c r="Y831" i="6"/>
  <c r="W974" i="6"/>
  <c r="Y973" i="6"/>
  <c r="W1049" i="6"/>
  <c r="Y1048" i="6"/>
  <c r="W1124" i="6"/>
  <c r="Y1123" i="6"/>
  <c r="W881" i="6"/>
  <c r="Y880" i="6"/>
  <c r="W1024" i="6"/>
  <c r="Y1023" i="6"/>
  <c r="W1074" i="6"/>
  <c r="Y1073" i="6"/>
  <c r="W924" i="6"/>
  <c r="Y923" i="6"/>
  <c r="J578" i="6"/>
  <c r="H29" i="35"/>
  <c r="J526" i="6"/>
  <c r="H27" i="35"/>
  <c r="J106" i="44" s="1"/>
  <c r="M648" i="6"/>
  <c r="N578" i="6"/>
  <c r="J29" i="35"/>
  <c r="N526" i="6"/>
  <c r="J27" i="35"/>
  <c r="N106" i="44" s="1"/>
  <c r="O106" i="44" s="1"/>
  <c r="I1168" i="6"/>
  <c r="W1146" i="6" s="1"/>
  <c r="L51" i="35"/>
  <c r="C1147" i="6" s="1"/>
  <c r="H1147" i="6" s="1"/>
  <c r="U106" i="44" l="1"/>
  <c r="K106" i="44"/>
  <c r="P106" i="44" s="1"/>
  <c r="N85" i="44"/>
  <c r="O85" i="44" s="1"/>
  <c r="J85" i="44"/>
  <c r="I51" i="35"/>
  <c r="J608" i="6"/>
  <c r="K608" i="6" s="1"/>
  <c r="K622" i="6" s="1"/>
  <c r="N608" i="6"/>
  <c r="O608" i="6" s="1"/>
  <c r="O622" i="6" s="1"/>
  <c r="N52" i="44"/>
  <c r="O52" i="44" s="1"/>
  <c r="J52" i="44"/>
  <c r="L52" i="44"/>
  <c r="M52" i="44" s="1"/>
  <c r="W925" i="6"/>
  <c r="Y924" i="6"/>
  <c r="W1025" i="6"/>
  <c r="Y1024" i="6"/>
  <c r="W882" i="6"/>
  <c r="Y881" i="6"/>
  <c r="W1050" i="6"/>
  <c r="Y1049" i="6"/>
  <c r="W833" i="6"/>
  <c r="Y833" i="6" s="1"/>
  <c r="Y832" i="6"/>
  <c r="W907" i="6"/>
  <c r="Y906" i="6"/>
  <c r="W1100" i="6"/>
  <c r="Y1099" i="6"/>
  <c r="W950" i="6"/>
  <c r="Y949" i="6"/>
  <c r="W1147" i="6"/>
  <c r="Y1146" i="6"/>
  <c r="W1075" i="6"/>
  <c r="Y1074" i="6"/>
  <c r="W1125" i="6"/>
  <c r="Y1124" i="6"/>
  <c r="W975" i="6"/>
  <c r="Y974" i="6"/>
  <c r="W858" i="6"/>
  <c r="Y857" i="6"/>
  <c r="W1000" i="6"/>
  <c r="Y999" i="6"/>
  <c r="J51" i="35"/>
  <c r="Q578" i="6"/>
  <c r="T578" i="6" s="1"/>
  <c r="O648" i="6"/>
  <c r="K29" i="35"/>
  <c r="K648" i="6"/>
  <c r="Q526" i="6"/>
  <c r="L630" i="6"/>
  <c r="I31" i="35"/>
  <c r="K27" i="35"/>
  <c r="H51" i="35"/>
  <c r="L604" i="6"/>
  <c r="I30" i="35"/>
  <c r="L52" i="35"/>
  <c r="C1173" i="6" s="1"/>
  <c r="H1173" i="6" s="1"/>
  <c r="I1194" i="6"/>
  <c r="W1172" i="6" s="1"/>
  <c r="U85" i="44" l="1"/>
  <c r="U52" i="44"/>
  <c r="L90" i="44"/>
  <c r="M90" i="44" s="1"/>
  <c r="L89" i="44"/>
  <c r="M89" i="44" s="1"/>
  <c r="K85" i="44"/>
  <c r="P85" i="44" s="1"/>
  <c r="N60" i="44"/>
  <c r="O60" i="44" s="1"/>
  <c r="N67" i="44"/>
  <c r="O67" i="44" s="1"/>
  <c r="L60" i="44"/>
  <c r="M60" i="44" s="1"/>
  <c r="L67" i="44"/>
  <c r="M67" i="44" s="1"/>
  <c r="J60" i="44"/>
  <c r="J67" i="44"/>
  <c r="K52" i="44"/>
  <c r="P52" i="44" s="1"/>
  <c r="W1126" i="6"/>
  <c r="Y1125" i="6"/>
  <c r="W1076" i="6"/>
  <c r="Y1075" i="6"/>
  <c r="W951" i="6"/>
  <c r="Y950" i="6"/>
  <c r="W1051" i="6"/>
  <c r="Y1050" i="6"/>
  <c r="W1026" i="6"/>
  <c r="Y1025" i="6"/>
  <c r="W1173" i="6"/>
  <c r="Y1172" i="6"/>
  <c r="W1001" i="6"/>
  <c r="Y1000" i="6"/>
  <c r="W859" i="6"/>
  <c r="Y859" i="6" s="1"/>
  <c r="Y858" i="6"/>
  <c r="W976" i="6"/>
  <c r="Y975" i="6"/>
  <c r="W1148" i="6"/>
  <c r="Y1147" i="6"/>
  <c r="W1101" i="6"/>
  <c r="Y1100" i="6"/>
  <c r="W908" i="6"/>
  <c r="Y907" i="6"/>
  <c r="W883" i="6"/>
  <c r="Y882" i="6"/>
  <c r="W926" i="6"/>
  <c r="Y925" i="6"/>
  <c r="K51" i="35"/>
  <c r="J52" i="35"/>
  <c r="H52" i="35"/>
  <c r="N604" i="6"/>
  <c r="J30" i="35"/>
  <c r="T526" i="6"/>
  <c r="J630" i="6"/>
  <c r="H31" i="35"/>
  <c r="N630" i="6"/>
  <c r="J31" i="35"/>
  <c r="J604" i="6"/>
  <c r="H30" i="35"/>
  <c r="I52" i="35"/>
  <c r="U67" i="44" l="1"/>
  <c r="U60" i="44"/>
  <c r="N90" i="44"/>
  <c r="O90" i="44" s="1"/>
  <c r="J90" i="44"/>
  <c r="N89" i="44"/>
  <c r="O89" i="44" s="1"/>
  <c r="J89" i="44"/>
  <c r="K67" i="44"/>
  <c r="P67" i="44" s="1"/>
  <c r="K60" i="44"/>
  <c r="P60" i="44" s="1"/>
  <c r="W927" i="6"/>
  <c r="Y926" i="6"/>
  <c r="W909" i="6"/>
  <c r="Y908" i="6"/>
  <c r="W1149" i="6"/>
  <c r="Y1148" i="6"/>
  <c r="W1002" i="6"/>
  <c r="Y1001" i="6"/>
  <c r="W1052" i="6"/>
  <c r="Y1051" i="6"/>
  <c r="W1127" i="6"/>
  <c r="Y1126" i="6"/>
  <c r="W884" i="6"/>
  <c r="Y883" i="6"/>
  <c r="W1102" i="6"/>
  <c r="Y1101" i="6"/>
  <c r="W977" i="6"/>
  <c r="Y976" i="6"/>
  <c r="W1174" i="6"/>
  <c r="Y1173" i="6"/>
  <c r="W1027" i="6"/>
  <c r="Y1026" i="6"/>
  <c r="W952" i="6"/>
  <c r="Y951" i="6"/>
  <c r="W1077" i="6"/>
  <c r="Y1076" i="6"/>
  <c r="K52" i="35"/>
  <c r="Q604" i="6"/>
  <c r="T604" i="6" s="1"/>
  <c r="Q630" i="6"/>
  <c r="T630" i="6" s="1"/>
  <c r="K30" i="35"/>
  <c r="K31" i="35"/>
  <c r="U89" i="44" l="1"/>
  <c r="U90" i="44"/>
  <c r="K90" i="44"/>
  <c r="P90" i="44" s="1"/>
  <c r="K89" i="44"/>
  <c r="P89" i="44" s="1"/>
  <c r="W1078" i="6"/>
  <c r="Y1077" i="6"/>
  <c r="W1175" i="6"/>
  <c r="Y1174" i="6"/>
  <c r="W978" i="6"/>
  <c r="Y977" i="6"/>
  <c r="W1103" i="6"/>
  <c r="Y1102" i="6"/>
  <c r="W1053" i="6"/>
  <c r="Y1052" i="6"/>
  <c r="W1003" i="6"/>
  <c r="Y1002" i="6"/>
  <c r="W1150" i="6"/>
  <c r="Y1149" i="6"/>
  <c r="W928" i="6"/>
  <c r="Y927" i="6"/>
  <c r="W953" i="6"/>
  <c r="Y952" i="6"/>
  <c r="W1028" i="6"/>
  <c r="Y1027" i="6"/>
  <c r="W885" i="6"/>
  <c r="Y885" i="6" s="1"/>
  <c r="Y884" i="6"/>
  <c r="W1128" i="6"/>
  <c r="Y1127" i="6"/>
  <c r="W910" i="6"/>
  <c r="Y909" i="6"/>
  <c r="W1029" i="6" l="1"/>
  <c r="Y1028" i="6"/>
  <c r="W929" i="6"/>
  <c r="Y928" i="6"/>
  <c r="W1004" i="6"/>
  <c r="Y1003" i="6"/>
  <c r="W979" i="6"/>
  <c r="Y978" i="6"/>
  <c r="W911" i="6"/>
  <c r="Y911" i="6" s="1"/>
  <c r="Y910" i="6"/>
  <c r="W1129" i="6"/>
  <c r="Y1128" i="6"/>
  <c r="W954" i="6"/>
  <c r="Y953" i="6"/>
  <c r="W1151" i="6"/>
  <c r="Y1150" i="6"/>
  <c r="W1054" i="6"/>
  <c r="Y1053" i="6"/>
  <c r="W1104" i="6"/>
  <c r="Y1103" i="6"/>
  <c r="W1176" i="6"/>
  <c r="Y1175" i="6"/>
  <c r="W1079" i="6"/>
  <c r="Y1078" i="6"/>
  <c r="W930" i="6" l="1"/>
  <c r="Y929" i="6"/>
  <c r="W1030" i="6"/>
  <c r="Y1029" i="6"/>
  <c r="W1080" i="6"/>
  <c r="Y1079" i="6"/>
  <c r="W1105" i="6"/>
  <c r="Y1104" i="6"/>
  <c r="W1152" i="6"/>
  <c r="Y1151" i="6"/>
  <c r="W955" i="6"/>
  <c r="Y954" i="6"/>
  <c r="W1130" i="6"/>
  <c r="Y1129" i="6"/>
  <c r="W980" i="6"/>
  <c r="Y979" i="6"/>
  <c r="W1005" i="6"/>
  <c r="Y1004" i="6"/>
  <c r="W1177" i="6"/>
  <c r="Y1176" i="6"/>
  <c r="W1055" i="6"/>
  <c r="Y1054" i="6"/>
  <c r="W1178" i="6" l="1"/>
  <c r="Y1177" i="6"/>
  <c r="W1006" i="6"/>
  <c r="Y1005" i="6"/>
  <c r="W956" i="6"/>
  <c r="Y955" i="6"/>
  <c r="W1106" i="6"/>
  <c r="Y1105" i="6"/>
  <c r="W1031" i="6"/>
  <c r="Y1030" i="6"/>
  <c r="W1056" i="6"/>
  <c r="Y1055" i="6"/>
  <c r="W981" i="6"/>
  <c r="Y980" i="6"/>
  <c r="W1131" i="6"/>
  <c r="Y1130" i="6"/>
  <c r="W1153" i="6"/>
  <c r="Y1152" i="6"/>
  <c r="W1081" i="6"/>
  <c r="Y1080" i="6"/>
  <c r="W931" i="6"/>
  <c r="Y930" i="6"/>
  <c r="W932" i="6" l="1"/>
  <c r="Y931" i="6"/>
  <c r="W1082" i="6"/>
  <c r="Y1081" i="6"/>
  <c r="W1132" i="6"/>
  <c r="Y1131" i="6"/>
  <c r="W1032" i="6"/>
  <c r="Y1031" i="6"/>
  <c r="W1107" i="6"/>
  <c r="Y1106" i="6"/>
  <c r="W1154" i="6"/>
  <c r="Y1153" i="6"/>
  <c r="W982" i="6"/>
  <c r="Y981" i="6"/>
  <c r="W1057" i="6"/>
  <c r="Y1056" i="6"/>
  <c r="W957" i="6"/>
  <c r="Y956" i="6"/>
  <c r="W1007" i="6"/>
  <c r="Y1006" i="6"/>
  <c r="W1179" i="6"/>
  <c r="Y1178" i="6"/>
  <c r="D1199" i="6"/>
  <c r="W1008" i="6" l="1"/>
  <c r="Y1007" i="6"/>
  <c r="W983" i="6"/>
  <c r="Y982" i="6"/>
  <c r="W1108" i="6"/>
  <c r="Y1107" i="6"/>
  <c r="W1133" i="6"/>
  <c r="Y1132" i="6"/>
  <c r="W933" i="6"/>
  <c r="Y932" i="6"/>
  <c r="W1180" i="6"/>
  <c r="Y1179" i="6"/>
  <c r="W958" i="6"/>
  <c r="Y957" i="6"/>
  <c r="W1058" i="6"/>
  <c r="Y1057" i="6"/>
  <c r="W1155" i="6"/>
  <c r="Y1154" i="6"/>
  <c r="W1033" i="6"/>
  <c r="Y1032" i="6"/>
  <c r="W1083" i="6"/>
  <c r="Y1082" i="6"/>
  <c r="W1084" i="6" l="1"/>
  <c r="Y1083" i="6"/>
  <c r="W1034" i="6"/>
  <c r="Y1033" i="6"/>
  <c r="W1059" i="6"/>
  <c r="Y1058" i="6"/>
  <c r="W959" i="6"/>
  <c r="Y958" i="6"/>
  <c r="W934" i="6"/>
  <c r="Y933" i="6"/>
  <c r="W984" i="6"/>
  <c r="Y983" i="6"/>
  <c r="W1009" i="6"/>
  <c r="Y1008" i="6"/>
  <c r="W1156" i="6"/>
  <c r="Y1155" i="6"/>
  <c r="W1181" i="6"/>
  <c r="Y1180" i="6"/>
  <c r="W1134" i="6"/>
  <c r="Y1133" i="6"/>
  <c r="W1109" i="6"/>
  <c r="Y1108" i="6"/>
  <c r="L53" i="35"/>
  <c r="C1199" i="6" s="1"/>
  <c r="H1199" i="6" s="1"/>
  <c r="I1220" i="6"/>
  <c r="W1198" i="6" s="1"/>
  <c r="W1199" i="6" l="1"/>
  <c r="Y1198" i="6"/>
  <c r="W1110" i="6"/>
  <c r="Y1109" i="6"/>
  <c r="W1010" i="6"/>
  <c r="Y1009" i="6"/>
  <c r="W935" i="6"/>
  <c r="Y934" i="6"/>
  <c r="W960" i="6"/>
  <c r="Y959" i="6"/>
  <c r="W1085" i="6"/>
  <c r="Y1084" i="6"/>
  <c r="W1135" i="6"/>
  <c r="Y1134" i="6"/>
  <c r="W1182" i="6"/>
  <c r="Y1181" i="6"/>
  <c r="W1157" i="6"/>
  <c r="Y1156" i="6"/>
  <c r="W985" i="6"/>
  <c r="Y984" i="6"/>
  <c r="W1060" i="6"/>
  <c r="Y1059" i="6"/>
  <c r="W1035" i="6"/>
  <c r="Y1034" i="6"/>
  <c r="I53" i="35"/>
  <c r="M1272" i="6" s="1"/>
  <c r="L1254" i="6" s="1"/>
  <c r="J53" i="35"/>
  <c r="O1272" i="6" s="1"/>
  <c r="N1254" i="6" s="1"/>
  <c r="H53" i="35"/>
  <c r="K1272" i="6" s="1"/>
  <c r="J1254" i="6" s="1"/>
  <c r="Q1233" i="6"/>
  <c r="T1233" i="6" s="1"/>
  <c r="Q1254" i="6" l="1"/>
  <c r="T1254" i="6" s="1"/>
  <c r="M1324" i="6"/>
  <c r="L1306" i="6" s="1"/>
  <c r="M1298" i="6"/>
  <c r="L1280" i="6" s="1"/>
  <c r="O1324" i="6"/>
  <c r="N1306" i="6" s="1"/>
  <c r="O1298" i="6"/>
  <c r="N1280" i="6" s="1"/>
  <c r="K1324" i="6"/>
  <c r="J1306" i="6" s="1"/>
  <c r="K1298" i="6"/>
  <c r="J1280" i="6" s="1"/>
  <c r="M1350" i="6"/>
  <c r="M1428" i="6"/>
  <c r="L1410" i="6" s="1"/>
  <c r="K1350" i="6"/>
  <c r="J1332" i="6" s="1"/>
  <c r="K1428" i="6"/>
  <c r="J1410" i="6" s="1"/>
  <c r="O1350" i="6"/>
  <c r="N1332" i="6" s="1"/>
  <c r="O1428" i="6"/>
  <c r="N1410" i="6" s="1"/>
  <c r="W1036" i="6"/>
  <c r="Y1035" i="6"/>
  <c r="W986" i="6"/>
  <c r="Y985" i="6"/>
  <c r="W1158" i="6"/>
  <c r="Y1157" i="6"/>
  <c r="W1136" i="6"/>
  <c r="Y1135" i="6"/>
  <c r="W936" i="6"/>
  <c r="Y935" i="6"/>
  <c r="W1011" i="6"/>
  <c r="Y1010" i="6"/>
  <c r="W1200" i="6"/>
  <c r="Y1199" i="6"/>
  <c r="N1233" i="6"/>
  <c r="O1233" i="6" s="1"/>
  <c r="O1246" i="6" s="1"/>
  <c r="W1061" i="6"/>
  <c r="Y1060" i="6"/>
  <c r="W1183" i="6"/>
  <c r="Y1182" i="6"/>
  <c r="W1086" i="6"/>
  <c r="Y1085" i="6"/>
  <c r="W961" i="6"/>
  <c r="Y960" i="6"/>
  <c r="W1111" i="6"/>
  <c r="Y1110" i="6"/>
  <c r="L1233" i="6"/>
  <c r="M1233" i="6" s="1"/>
  <c r="M1246" i="6" s="1"/>
  <c r="L1228" i="6" s="1"/>
  <c r="K53" i="35"/>
  <c r="L1332" i="6" l="1"/>
  <c r="Q1332" i="6" s="1"/>
  <c r="T1332" i="6" s="1"/>
  <c r="Q1306" i="6"/>
  <c r="T1306" i="6" s="1"/>
  <c r="Q1280" i="6"/>
  <c r="T1280" i="6" s="1"/>
  <c r="Q1410" i="6"/>
  <c r="T1410" i="6" s="1"/>
  <c r="N1228" i="6"/>
  <c r="W962" i="6"/>
  <c r="Y961" i="6"/>
  <c r="W1062" i="6"/>
  <c r="Y1061" i="6"/>
  <c r="W1201" i="6"/>
  <c r="Y1200" i="6"/>
  <c r="W1012" i="6"/>
  <c r="Y1011" i="6"/>
  <c r="W1137" i="6"/>
  <c r="Y1136" i="6"/>
  <c r="W987" i="6"/>
  <c r="Y986" i="6"/>
  <c r="W1037" i="6"/>
  <c r="Y1036" i="6"/>
  <c r="W1112" i="6"/>
  <c r="Y1111" i="6"/>
  <c r="W1087" i="6"/>
  <c r="Y1086" i="6"/>
  <c r="W1184" i="6"/>
  <c r="Y1183" i="6"/>
  <c r="W937" i="6"/>
  <c r="Y937" i="6" s="1"/>
  <c r="Y936" i="6"/>
  <c r="W1159" i="6"/>
  <c r="Y1158" i="6"/>
  <c r="J1233" i="6"/>
  <c r="K1233" i="6" s="1"/>
  <c r="K1246" i="6" s="1"/>
  <c r="J1228" i="6" s="1"/>
  <c r="Q1228" i="6" l="1"/>
  <c r="T1228" i="6" s="1"/>
  <c r="W1185" i="6"/>
  <c r="Y1184" i="6"/>
  <c r="W1038" i="6"/>
  <c r="Y1037" i="6"/>
  <c r="W1138" i="6"/>
  <c r="Y1137" i="6"/>
  <c r="W1013" i="6"/>
  <c r="Y1012" i="6"/>
  <c r="W1063" i="6"/>
  <c r="Y1062" i="6"/>
  <c r="W1088" i="6"/>
  <c r="Y1087" i="6"/>
  <c r="W1113" i="6"/>
  <c r="Y1112" i="6"/>
  <c r="W988" i="6"/>
  <c r="Y987" i="6"/>
  <c r="W1202" i="6"/>
  <c r="Y1201" i="6"/>
  <c r="W963" i="6"/>
  <c r="Y963" i="6" s="1"/>
  <c r="Y962" i="6"/>
  <c r="W1160" i="6"/>
  <c r="Y1159" i="6"/>
  <c r="W1114" i="6" l="1"/>
  <c r="Y1113" i="6"/>
  <c r="W1014" i="6"/>
  <c r="Y1013" i="6"/>
  <c r="W1039" i="6"/>
  <c r="Y1038" i="6"/>
  <c r="W1186" i="6"/>
  <c r="Y1185" i="6"/>
  <c r="W1161" i="6"/>
  <c r="Y1160" i="6"/>
  <c r="W1203" i="6"/>
  <c r="Y1202" i="6"/>
  <c r="W989" i="6"/>
  <c r="Y989" i="6" s="1"/>
  <c r="Y988" i="6"/>
  <c r="W1089" i="6"/>
  <c r="Y1088" i="6"/>
  <c r="W1064" i="6"/>
  <c r="Y1063" i="6"/>
  <c r="W1139" i="6"/>
  <c r="Y1138" i="6"/>
  <c r="W1140" i="6" l="1"/>
  <c r="Y1139" i="6"/>
  <c r="W1162" i="6"/>
  <c r="Y1161" i="6"/>
  <c r="W1040" i="6"/>
  <c r="Y1039" i="6"/>
  <c r="W1115" i="6"/>
  <c r="Y1114" i="6"/>
  <c r="W1065" i="6"/>
  <c r="Y1064" i="6"/>
  <c r="W1090" i="6"/>
  <c r="Y1089" i="6"/>
  <c r="W1204" i="6"/>
  <c r="Y1203" i="6"/>
  <c r="W1187" i="6"/>
  <c r="Y1186" i="6"/>
  <c r="W1015" i="6"/>
  <c r="Y1015" i="6" s="1"/>
  <c r="Y1014" i="6"/>
  <c r="W1091" i="6" l="1"/>
  <c r="Y1090" i="6"/>
  <c r="W1116" i="6"/>
  <c r="Y1115" i="6"/>
  <c r="W1041" i="6"/>
  <c r="Y1041" i="6" s="1"/>
  <c r="Y1040" i="6"/>
  <c r="W1141" i="6"/>
  <c r="Y1140" i="6"/>
  <c r="W1188" i="6"/>
  <c r="Y1187" i="6"/>
  <c r="W1205" i="6"/>
  <c r="Y1204" i="6"/>
  <c r="W1066" i="6"/>
  <c r="Y1065" i="6"/>
  <c r="W1163" i="6"/>
  <c r="Y1162" i="6"/>
  <c r="D1225" i="6"/>
  <c r="L54" i="35"/>
  <c r="C1225" i="6" s="1"/>
  <c r="H1225" i="6" s="1"/>
  <c r="I1246" i="6"/>
  <c r="R60" i="35" l="1"/>
  <c r="R59" i="35"/>
  <c r="J59" i="35"/>
  <c r="N188" i="44" s="1"/>
  <c r="O188" i="44" s="1"/>
  <c r="H59" i="35"/>
  <c r="J188" i="44" s="1"/>
  <c r="H60" i="35"/>
  <c r="J189" i="44" s="1"/>
  <c r="I60" i="35"/>
  <c r="L189" i="44" s="1"/>
  <c r="M189" i="44" s="1"/>
  <c r="J60" i="35"/>
  <c r="N189" i="44" s="1"/>
  <c r="O189" i="44" s="1"/>
  <c r="I59" i="35"/>
  <c r="L188" i="44" s="1"/>
  <c r="M188" i="44" s="1"/>
  <c r="R10" i="35"/>
  <c r="R61" i="35"/>
  <c r="R57" i="35"/>
  <c r="R55" i="35"/>
  <c r="R58" i="35"/>
  <c r="R56" i="35"/>
  <c r="J55" i="35"/>
  <c r="N184" i="44" s="1"/>
  <c r="O184" i="44" s="1"/>
  <c r="J57" i="35"/>
  <c r="N186" i="44" s="1"/>
  <c r="O186" i="44" s="1"/>
  <c r="I57" i="35"/>
  <c r="L186" i="44" s="1"/>
  <c r="M186" i="44" s="1"/>
  <c r="J58" i="35"/>
  <c r="I58" i="35"/>
  <c r="I56" i="35"/>
  <c r="L185" i="44" s="1"/>
  <c r="M185" i="44" s="1"/>
  <c r="J56" i="35"/>
  <c r="N185" i="44" s="1"/>
  <c r="O185" i="44" s="1"/>
  <c r="H58" i="35"/>
  <c r="H55" i="35"/>
  <c r="J184" i="44" s="1"/>
  <c r="J61" i="35"/>
  <c r="I55" i="35"/>
  <c r="L184" i="44" s="1"/>
  <c r="M184" i="44" s="1"/>
  <c r="H56" i="35"/>
  <c r="J185" i="44" s="1"/>
  <c r="I61" i="35"/>
  <c r="H61" i="35"/>
  <c r="H57" i="35"/>
  <c r="W1224" i="6"/>
  <c r="W1225" i="6" s="1"/>
  <c r="I11" i="35"/>
  <c r="J11" i="35"/>
  <c r="J10" i="35"/>
  <c r="I10" i="35"/>
  <c r="H10" i="35"/>
  <c r="R22" i="35"/>
  <c r="R11" i="35"/>
  <c r="W1164" i="6"/>
  <c r="Y1163" i="6"/>
  <c r="W1067" i="6"/>
  <c r="Y1067" i="6" s="1"/>
  <c r="Y1066" i="6"/>
  <c r="W1189" i="6"/>
  <c r="Y1188" i="6"/>
  <c r="W1142" i="6"/>
  <c r="Y1141" i="6"/>
  <c r="W1092" i="6"/>
  <c r="Y1091" i="6"/>
  <c r="W1206" i="6"/>
  <c r="Y1205" i="6"/>
  <c r="W1117" i="6"/>
  <c r="Y1116" i="6"/>
  <c r="H54" i="35"/>
  <c r="J91" i="44" s="1"/>
  <c r="J54" i="35"/>
  <c r="N91" i="44" s="1"/>
  <c r="O91" i="44" s="1"/>
  <c r="I54" i="35"/>
  <c r="L91" i="44" s="1"/>
  <c r="M91" i="44" s="1"/>
  <c r="K189" i="44" l="1"/>
  <c r="P189" i="44" s="1"/>
  <c r="U189" i="44"/>
  <c r="L187" i="44"/>
  <c r="M187" i="44" s="1"/>
  <c r="L190" i="44"/>
  <c r="M190" i="44" s="1"/>
  <c r="M203" i="44" s="1"/>
  <c r="L11" i="50" s="1"/>
  <c r="J187" i="44"/>
  <c r="K187" i="44" s="1"/>
  <c r="J190" i="44"/>
  <c r="N187" i="44"/>
  <c r="O187" i="44" s="1"/>
  <c r="N190" i="44"/>
  <c r="O190" i="44" s="1"/>
  <c r="U188" i="44"/>
  <c r="K188" i="44"/>
  <c r="P188" i="44" s="1"/>
  <c r="K60" i="35"/>
  <c r="K59" i="35"/>
  <c r="K57" i="35"/>
  <c r="J186" i="44"/>
  <c r="K185" i="44"/>
  <c r="P185" i="44" s="1"/>
  <c r="U185" i="44"/>
  <c r="K184" i="44"/>
  <c r="U184" i="44"/>
  <c r="U187" i="44"/>
  <c r="K56" i="35"/>
  <c r="K58" i="35"/>
  <c r="K61" i="35"/>
  <c r="K55" i="35"/>
  <c r="Y1224" i="6"/>
  <c r="L34" i="44"/>
  <c r="M34" i="44" s="1"/>
  <c r="L30" i="44"/>
  <c r="M30" i="44" s="1"/>
  <c r="L35" i="44"/>
  <c r="M35" i="44" s="1"/>
  <c r="L31" i="44"/>
  <c r="M31" i="44" s="1"/>
  <c r="N35" i="44"/>
  <c r="O35" i="44" s="1"/>
  <c r="N31" i="44"/>
  <c r="O31" i="44" s="1"/>
  <c r="J34" i="44"/>
  <c r="J30" i="44"/>
  <c r="N34" i="44"/>
  <c r="O34" i="44" s="1"/>
  <c r="N30" i="44"/>
  <c r="O30" i="44" s="1"/>
  <c r="K10" i="35"/>
  <c r="U91" i="44"/>
  <c r="K91" i="44"/>
  <c r="P91" i="44" s="1"/>
  <c r="W1226" i="6"/>
  <c r="Y1225" i="6"/>
  <c r="W1093" i="6"/>
  <c r="Y1093" i="6" s="1"/>
  <c r="Y1092" i="6"/>
  <c r="W1143" i="6"/>
  <c r="Y1142" i="6"/>
  <c r="W1190" i="6"/>
  <c r="Y1189" i="6"/>
  <c r="W1118" i="6"/>
  <c r="Y1117" i="6"/>
  <c r="W1207" i="6"/>
  <c r="Y1206" i="6"/>
  <c r="W1165" i="6"/>
  <c r="Y1164" i="6"/>
  <c r="K54" i="35"/>
  <c r="O203" i="44" l="1"/>
  <c r="N11" i="50" s="1"/>
  <c r="P187" i="44"/>
  <c r="U190" i="44"/>
  <c r="K190" i="44"/>
  <c r="P190" i="44" s="1"/>
  <c r="K186" i="44"/>
  <c r="P186" i="44" s="1"/>
  <c r="U186" i="44"/>
  <c r="P184" i="44"/>
  <c r="K34" i="44"/>
  <c r="P34" i="44" s="1"/>
  <c r="U34" i="44"/>
  <c r="U30" i="44"/>
  <c r="K30" i="44"/>
  <c r="P30" i="44" s="1"/>
  <c r="W1166" i="6"/>
  <c r="Y1165" i="6"/>
  <c r="W1208" i="6"/>
  <c r="Y1207" i="6"/>
  <c r="W1119" i="6"/>
  <c r="Y1119" i="6" s="1"/>
  <c r="Y1118" i="6"/>
  <c r="W1144" i="6"/>
  <c r="Y1143" i="6"/>
  <c r="W1227" i="6"/>
  <c r="Y1226" i="6"/>
  <c r="W1191" i="6"/>
  <c r="Y1190" i="6"/>
  <c r="K203" i="44" l="1"/>
  <c r="W1192" i="6"/>
  <c r="Y1191" i="6"/>
  <c r="W1228" i="6"/>
  <c r="Y1227" i="6"/>
  <c r="W1167" i="6"/>
  <c r="Y1166" i="6"/>
  <c r="W1145" i="6"/>
  <c r="Y1145" i="6" s="1"/>
  <c r="Y1144" i="6"/>
  <c r="W1209" i="6"/>
  <c r="Y1208" i="6"/>
  <c r="J11" i="50" l="1"/>
  <c r="P11" i="50" s="1"/>
  <c r="P203" i="44"/>
  <c r="R49" i="35"/>
  <c r="W1229" i="6"/>
  <c r="Y1228" i="6"/>
  <c r="W1193" i="6"/>
  <c r="Y1192" i="6"/>
  <c r="W1210" i="6"/>
  <c r="Y1209" i="6"/>
  <c r="W1168" i="6"/>
  <c r="Y1167" i="6"/>
  <c r="W1169" i="6" l="1"/>
  <c r="Y1168" i="6"/>
  <c r="W1211" i="6"/>
  <c r="Y1210" i="6"/>
  <c r="W1194" i="6"/>
  <c r="Y1193" i="6"/>
  <c r="W1230" i="6"/>
  <c r="Y1229" i="6"/>
  <c r="W1231" i="6" l="1"/>
  <c r="Y1230" i="6"/>
  <c r="W1195" i="6"/>
  <c r="Y1194" i="6"/>
  <c r="W1212" i="6"/>
  <c r="Y1211" i="6"/>
  <c r="W1170" i="6"/>
  <c r="Y1169" i="6"/>
  <c r="W1213" i="6" l="1"/>
  <c r="Y1212" i="6"/>
  <c r="W1232" i="6"/>
  <c r="Y1231" i="6"/>
  <c r="W1171" i="6"/>
  <c r="Y1171" i="6" s="1"/>
  <c r="Y1170" i="6"/>
  <c r="W1196" i="6"/>
  <c r="Y1195" i="6"/>
  <c r="W1197" i="6" l="1"/>
  <c r="Y1197" i="6" s="1"/>
  <c r="Y1196" i="6"/>
  <c r="W1233" i="6"/>
  <c r="Y1232" i="6"/>
  <c r="W1214" i="6"/>
  <c r="Y1213" i="6"/>
  <c r="R15" i="35"/>
  <c r="H15" i="35" l="1"/>
  <c r="I15" i="35"/>
  <c r="J15" i="35"/>
  <c r="W1234" i="6"/>
  <c r="Y1233" i="6"/>
  <c r="W1215" i="6"/>
  <c r="Y1214" i="6"/>
  <c r="K15" i="35" l="1"/>
  <c r="J77" i="44"/>
  <c r="J75" i="44"/>
  <c r="L77" i="44"/>
  <c r="M77" i="44" s="1"/>
  <c r="L75" i="44"/>
  <c r="M75" i="44" s="1"/>
  <c r="N77" i="44"/>
  <c r="O77" i="44" s="1"/>
  <c r="N75" i="44"/>
  <c r="O75" i="44" s="1"/>
  <c r="W1216" i="6"/>
  <c r="Y1215" i="6"/>
  <c r="W1235" i="6"/>
  <c r="Y1234" i="6"/>
  <c r="U77" i="44" l="1"/>
  <c r="U75" i="44"/>
  <c r="K77" i="44"/>
  <c r="P77" i="44" s="1"/>
  <c r="K75" i="44"/>
  <c r="P75" i="44" s="1"/>
  <c r="W1236" i="6"/>
  <c r="Y1235" i="6"/>
  <c r="W1217" i="6"/>
  <c r="Y1216" i="6"/>
  <c r="W1237" i="6" l="1"/>
  <c r="Y1236" i="6"/>
  <c r="W1218" i="6"/>
  <c r="Y1217" i="6"/>
  <c r="W1219" i="6" l="1"/>
  <c r="Y1218" i="6"/>
  <c r="W1238" i="6"/>
  <c r="Y1237" i="6"/>
  <c r="W1220" i="6" l="1"/>
  <c r="Y1219" i="6"/>
  <c r="W1239" i="6"/>
  <c r="Y1238" i="6"/>
  <c r="W1240" i="6" l="1"/>
  <c r="Y1239" i="6"/>
  <c r="W1221" i="6"/>
  <c r="Y1220" i="6"/>
  <c r="W1222" i="6" l="1"/>
  <c r="Y1221" i="6"/>
  <c r="W1241" i="6"/>
  <c r="Y1240" i="6"/>
  <c r="W1223" i="6" l="1"/>
  <c r="Y1223" i="6" s="1"/>
  <c r="Y1222" i="6"/>
  <c r="W1242" i="6"/>
  <c r="Y1241" i="6"/>
  <c r="W1243" i="6" l="1"/>
  <c r="Y1242" i="6"/>
  <c r="W1244" i="6" l="1"/>
  <c r="Y1243" i="6"/>
  <c r="W1245" i="6" l="1"/>
  <c r="Y1244" i="6"/>
  <c r="W1246" i="6" l="1"/>
  <c r="Y1245" i="6"/>
  <c r="W1247" i="6" l="1"/>
  <c r="Y1246" i="6"/>
  <c r="R19" i="35"/>
  <c r="I19" i="35" l="1"/>
  <c r="J19" i="35"/>
  <c r="H19" i="35"/>
  <c r="W1248" i="6"/>
  <c r="Y1247" i="6"/>
  <c r="H14" i="35"/>
  <c r="J64" i="44" s="1"/>
  <c r="U64" i="44" s="1"/>
  <c r="R14" i="35"/>
  <c r="R29" i="35"/>
  <c r="R26" i="35"/>
  <c r="R38" i="35"/>
  <c r="R21" i="35"/>
  <c r="R17" i="35"/>
  <c r="R54" i="35"/>
  <c r="R18" i="35"/>
  <c r="R8" i="35"/>
  <c r="R31" i="35"/>
  <c r="R36" i="35"/>
  <c r="R7" i="35"/>
  <c r="R20" i="35"/>
  <c r="R33" i="35"/>
  <c r="R52" i="35"/>
  <c r="R40" i="35"/>
  <c r="R44" i="35"/>
  <c r="R39" i="35"/>
  <c r="R48" i="35"/>
  <c r="R12" i="35"/>
  <c r="R34" i="35"/>
  <c r="R16" i="35"/>
  <c r="R24" i="35"/>
  <c r="R13" i="35"/>
  <c r="R41" i="35"/>
  <c r="R53" i="35"/>
  <c r="R35" i="35"/>
  <c r="R30" i="35"/>
  <c r="R6" i="35"/>
  <c r="R9" i="35"/>
  <c r="R51" i="35"/>
  <c r="R37" i="35"/>
  <c r="R43" i="35"/>
  <c r="R32" i="35"/>
  <c r="R50" i="35"/>
  <c r="R28" i="35"/>
  <c r="R46" i="35"/>
  <c r="R23" i="35"/>
  <c r="R27" i="35"/>
  <c r="R45" i="35"/>
  <c r="R42" i="35"/>
  <c r="R25" i="35"/>
  <c r="L118" i="44" l="1"/>
  <c r="M118" i="44" s="1"/>
  <c r="L122" i="44"/>
  <c r="M122" i="44" s="1"/>
  <c r="L115" i="44"/>
  <c r="M115" i="44" s="1"/>
  <c r="L125" i="44"/>
  <c r="M125" i="44" s="1"/>
  <c r="N125" i="44"/>
  <c r="O125" i="44" s="1"/>
  <c r="N118" i="44"/>
  <c r="O118" i="44" s="1"/>
  <c r="N122" i="44"/>
  <c r="O122" i="44" s="1"/>
  <c r="N115" i="44"/>
  <c r="O115" i="44" s="1"/>
  <c r="J115" i="44"/>
  <c r="J122" i="44"/>
  <c r="J125" i="44"/>
  <c r="J118" i="44"/>
  <c r="L107" i="44"/>
  <c r="M107" i="44" s="1"/>
  <c r="L110" i="44"/>
  <c r="M110" i="44" s="1"/>
  <c r="N107" i="44"/>
  <c r="O107" i="44" s="1"/>
  <c r="N110" i="44"/>
  <c r="O110" i="44" s="1"/>
  <c r="J107" i="44"/>
  <c r="J110" i="44"/>
  <c r="L97" i="44"/>
  <c r="M97" i="44" s="1"/>
  <c r="L103" i="44"/>
  <c r="M103" i="44" s="1"/>
  <c r="L100" i="44"/>
  <c r="M100" i="44" s="1"/>
  <c r="N97" i="44"/>
  <c r="O97" i="44" s="1"/>
  <c r="N103" i="44"/>
  <c r="O103" i="44" s="1"/>
  <c r="N100" i="44"/>
  <c r="O100" i="44" s="1"/>
  <c r="J97" i="44"/>
  <c r="J103" i="44"/>
  <c r="J100" i="44"/>
  <c r="K64" i="44"/>
  <c r="P64" i="44" s="1"/>
  <c r="K19" i="35"/>
  <c r="K14" i="35"/>
  <c r="W1249" i="6"/>
  <c r="Y1249" i="6" s="1"/>
  <c r="Y1248" i="6"/>
  <c r="U125" i="44" l="1"/>
  <c r="U103" i="44"/>
  <c r="U122" i="44"/>
  <c r="U118" i="44"/>
  <c r="U107" i="44"/>
  <c r="U115" i="44"/>
  <c r="U110" i="44"/>
  <c r="U100" i="44"/>
  <c r="K97" i="44"/>
  <c r="P97" i="44" s="1"/>
  <c r="U97" i="44"/>
  <c r="K115" i="44"/>
  <c r="P115" i="44" s="1"/>
  <c r="K122" i="44"/>
  <c r="P122" i="44" s="1"/>
  <c r="K125" i="44"/>
  <c r="P125" i="44" s="1"/>
  <c r="K118" i="44"/>
  <c r="P118" i="44" s="1"/>
  <c r="K110" i="44"/>
  <c r="P110" i="44" s="1"/>
  <c r="K107" i="44"/>
  <c r="P107" i="44" s="1"/>
  <c r="K100" i="44"/>
  <c r="P100" i="44" s="1"/>
  <c r="K103" i="44"/>
  <c r="P103" i="44" s="1"/>
  <c r="O159" i="44"/>
  <c r="N9" i="50" s="1"/>
  <c r="M159" i="44"/>
  <c r="L9" i="50" s="1"/>
  <c r="M44" i="44" l="1"/>
  <c r="L7" i="50" s="1"/>
  <c r="O44" i="44"/>
  <c r="N7" i="50" s="1"/>
  <c r="O71" i="44" l="1"/>
  <c r="M71" i="44"/>
  <c r="L8" i="50" l="1"/>
  <c r="N8" i="50"/>
  <c r="K71" i="44" l="1"/>
  <c r="P71" i="44" s="1"/>
  <c r="N21" i="50"/>
  <c r="E12" i="1" s="1"/>
  <c r="L21" i="50"/>
  <c r="E9" i="1" s="1"/>
  <c r="J8" i="50" l="1"/>
  <c r="P8" i="50" s="1"/>
  <c r="D7" i="23"/>
  <c r="G7" i="23" s="1"/>
  <c r="G9" i="23" s="1"/>
  <c r="F11" i="10" s="1"/>
  <c r="D7" i="24"/>
  <c r="G7" i="24" s="1"/>
  <c r="G9" i="24" s="1"/>
  <c r="F12" i="10" s="1"/>
  <c r="D7" i="22"/>
  <c r="G7" i="22" s="1"/>
  <c r="G9" i="22" s="1"/>
  <c r="F10" i="10" s="1"/>
  <c r="E8" i="26"/>
  <c r="D7" i="25"/>
  <c r="G7" i="25" s="1"/>
  <c r="G9" i="25" s="1"/>
  <c r="F13" i="10" s="1"/>
  <c r="E10" i="1"/>
  <c r="E11" i="1" s="1"/>
  <c r="E8" i="30" l="1"/>
  <c r="E14" i="1"/>
  <c r="D7" i="18"/>
  <c r="G7" i="18" s="1"/>
  <c r="G9" i="18" s="1"/>
  <c r="F8" i="10" s="1"/>
  <c r="D7" i="20"/>
  <c r="G7" i="20" s="1"/>
  <c r="G9" i="20" s="1"/>
  <c r="F9" i="10" s="1"/>
  <c r="E13" i="1"/>
  <c r="D8" i="32"/>
  <c r="G8" i="32" s="1"/>
  <c r="I8" i="32" s="1"/>
  <c r="I10" i="32" s="1"/>
  <c r="N58" i="6"/>
  <c r="Q58" i="6" s="1"/>
  <c r="T58" i="6" l="1"/>
  <c r="R88" i="7" l="1"/>
  <c r="S88" i="7" s="1"/>
  <c r="J88" i="6" s="1"/>
  <c r="K88" i="6" s="1"/>
  <c r="K102" i="6" s="1"/>
  <c r="H11" i="35" s="1"/>
  <c r="K11" i="35" l="1"/>
  <c r="J35" i="44"/>
  <c r="J31" i="44"/>
  <c r="J84" i="6"/>
  <c r="Q84" i="6" s="1"/>
  <c r="H9" i="35"/>
  <c r="J12" i="44" s="1"/>
  <c r="U12" i="44" s="1"/>
  <c r="V130" i="7" l="1"/>
  <c r="V129" i="7"/>
  <c r="V101" i="7"/>
  <c r="V128" i="7"/>
  <c r="V125" i="7"/>
  <c r="V127" i="7"/>
  <c r="V126" i="7"/>
  <c r="V124" i="7"/>
  <c r="V131" i="7"/>
  <c r="U35" i="44"/>
  <c r="K35" i="44"/>
  <c r="P35" i="44" s="1"/>
  <c r="U31" i="44"/>
  <c r="K31" i="44"/>
  <c r="V66" i="7"/>
  <c r="V70" i="7"/>
  <c r="V58" i="7"/>
  <c r="V16" i="7"/>
  <c r="K12" i="44"/>
  <c r="P12" i="44" s="1"/>
  <c r="V10" i="7"/>
  <c r="V85" i="7"/>
  <c r="V87" i="7"/>
  <c r="V88" i="7"/>
  <c r="V78" i="7"/>
  <c r="V77" i="7"/>
  <c r="V76" i="7"/>
  <c r="V80" i="7"/>
  <c r="V92" i="7"/>
  <c r="V94" i="7"/>
  <c r="V91" i="7"/>
  <c r="V75" i="7"/>
  <c r="V89" i="7"/>
  <c r="V82" i="7"/>
  <c r="V79" i="7"/>
  <c r="V81" i="7"/>
  <c r="V84" i="7"/>
  <c r="V90" i="7"/>
  <c r="V93" i="7"/>
  <c r="V38" i="7"/>
  <c r="V67" i="7"/>
  <c r="V55" i="7"/>
  <c r="V41" i="7"/>
  <c r="V42" i="7"/>
  <c r="V43" i="7"/>
  <c r="V62" i="7"/>
  <c r="V61" i="7"/>
  <c r="V49" i="7"/>
  <c r="V63" i="7"/>
  <c r="V53" i="7"/>
  <c r="V44" i="7"/>
  <c r="V36" i="7"/>
  <c r="V40" i="7"/>
  <c r="V69" i="7"/>
  <c r="V60" i="7"/>
  <c r="V12" i="7"/>
  <c r="V31" i="7"/>
  <c r="V32" i="7"/>
  <c r="V33" i="7"/>
  <c r="V50" i="7"/>
  <c r="V68" i="7"/>
  <c r="V56" i="7"/>
  <c r="V72" i="7"/>
  <c r="V37" i="7"/>
  <c r="V54" i="7"/>
  <c r="V64" i="7"/>
  <c r="V45" i="7"/>
  <c r="V46" i="7"/>
  <c r="V47" i="7"/>
  <c r="V48" i="7"/>
  <c r="V15" i="7"/>
  <c r="V39" i="7"/>
  <c r="V59" i="7"/>
  <c r="V13" i="7"/>
  <c r="V9" i="7"/>
  <c r="V11" i="7"/>
  <c r="T84" i="6"/>
  <c r="V8" i="7"/>
  <c r="K9" i="35"/>
  <c r="U7" i="44" l="1"/>
  <c r="P26" i="50" s="1"/>
  <c r="P31" i="44"/>
  <c r="K44" i="44"/>
  <c r="V107" i="7"/>
  <c r="V112" i="7"/>
  <c r="V109" i="7"/>
  <c r="V108" i="7"/>
  <c r="V110" i="7"/>
  <c r="V113" i="7"/>
  <c r="V111" i="7"/>
  <c r="V114" i="7"/>
  <c r="V115" i="7"/>
  <c r="V26" i="7"/>
  <c r="V25" i="7"/>
  <c r="V24" i="7"/>
  <c r="V23" i="7"/>
  <c r="V22" i="7"/>
  <c r="V27" i="7"/>
  <c r="V30" i="7"/>
  <c r="V28" i="7"/>
  <c r="V29" i="7"/>
  <c r="V86" i="7"/>
  <c r="V17" i="7"/>
  <c r="V51" i="7"/>
  <c r="V98" i="7"/>
  <c r="V14" i="7"/>
  <c r="V83" i="7"/>
  <c r="V103" i="7"/>
  <c r="V74" i="7"/>
  <c r="V102" i="7"/>
  <c r="V118" i="7"/>
  <c r="V119" i="7"/>
  <c r="V123" i="7"/>
  <c r="V100" i="7"/>
  <c r="V117" i="7"/>
  <c r="V99" i="7"/>
  <c r="V120" i="7"/>
  <c r="V122" i="7"/>
  <c r="V116" i="7"/>
  <c r="V106" i="7"/>
  <c r="V121" i="7"/>
  <c r="V73" i="7"/>
  <c r="V104" i="7"/>
  <c r="V105" i="7"/>
  <c r="V35" i="7"/>
  <c r="V52" i="7"/>
  <c r="V34" i="7"/>
  <c r="V57" i="7"/>
  <c r="P44" i="44" l="1"/>
  <c r="J7" i="50"/>
  <c r="P7" i="50" s="1"/>
  <c r="P49" i="44"/>
  <c r="J22" i="50"/>
  <c r="P22" i="50" s="1"/>
  <c r="E25" i="1" s="1"/>
  <c r="K23" i="44"/>
  <c r="P23" i="44" s="1"/>
  <c r="J6" i="50" l="1"/>
  <c r="P6" i="50" s="1"/>
  <c r="K159" i="44"/>
  <c r="P159" i="44" s="1"/>
  <c r="J9" i="50" l="1"/>
  <c r="P9" i="50" s="1"/>
  <c r="P21" i="50" s="1"/>
  <c r="P25" i="50" s="1"/>
  <c r="P27" i="50" s="1"/>
  <c r="J21" i="50" l="1"/>
  <c r="E6" i="1" s="1"/>
  <c r="E7" i="1" s="1"/>
  <c r="E8" i="1" s="1"/>
  <c r="E20" i="1" l="1"/>
  <c r="D8" i="30"/>
  <c r="G8" i="30" s="1"/>
  <c r="I8" i="30" s="1"/>
  <c r="I10" i="30" s="1"/>
  <c r="F8" i="32" s="1"/>
  <c r="E16" i="10"/>
  <c r="F16" i="10" s="1"/>
  <c r="D8" i="26"/>
  <c r="F8" i="26" s="1"/>
  <c r="H8" i="26" s="1"/>
  <c r="H10" i="26" s="1"/>
  <c r="F14" i="10" s="1"/>
  <c r="E19" i="1"/>
  <c r="E21" i="1" l="1"/>
  <c r="E22" i="1" l="1"/>
  <c r="E23" i="1" s="1"/>
  <c r="E24" i="1" s="1"/>
  <c r="E26" i="1" l="1"/>
  <c r="G24" i="1" l="1"/>
  <c r="E27" i="1"/>
  <c r="E28" i="1" s="1"/>
  <c r="G8" i="1"/>
  <c r="G25" i="1"/>
  <c r="G26" i="1"/>
  <c r="G21" i="1"/>
  <c r="G11" i="1"/>
  <c r="G23" i="1"/>
  <c r="X28" i="6"/>
  <c r="E30" i="1" l="1"/>
  <c r="G22" i="1"/>
  <c r="X29" i="6"/>
  <c r="Y28" i="6"/>
  <c r="X30" i="6" l="1"/>
  <c r="Y29" i="6"/>
  <c r="Y30" i="6" l="1"/>
  <c r="X31" i="6"/>
  <c r="Y31" i="6" l="1"/>
  <c r="X32" i="6"/>
  <c r="X33" i="6" l="1"/>
  <c r="Y32" i="6"/>
  <c r="Y33" i="6" l="1"/>
  <c r="X34" i="6"/>
  <c r="X35" i="6" l="1"/>
  <c r="Y34" i="6"/>
  <c r="Y35" i="6" l="1"/>
  <c r="X36" i="6"/>
  <c r="X37" i="6" l="1"/>
  <c r="Y36" i="6"/>
  <c r="Y37" i="6" l="1"/>
  <c r="X38" i="6"/>
  <c r="X39" i="6" l="1"/>
  <c r="Y38" i="6"/>
  <c r="Y39" i="6" l="1"/>
  <c r="X40" i="6"/>
  <c r="X41" i="6" l="1"/>
  <c r="Y40" i="6"/>
  <c r="Y41" i="6" l="1"/>
  <c r="X42" i="6"/>
  <c r="X43" i="6" l="1"/>
  <c r="Y42" i="6"/>
  <c r="Y43" i="6" l="1"/>
  <c r="X44" i="6"/>
  <c r="X45" i="6" l="1"/>
  <c r="Y44" i="6"/>
  <c r="Y45" i="6" l="1"/>
  <c r="X46" i="6"/>
  <c r="X47" i="6" l="1"/>
  <c r="Y46" i="6"/>
  <c r="Y47" i="6" l="1"/>
  <c r="X48" i="6"/>
  <c r="X49" i="6" l="1"/>
  <c r="Y48" i="6"/>
  <c r="Y49" i="6" l="1"/>
  <c r="X50" i="6"/>
  <c r="Y50" i="6" l="1"/>
  <c r="X51" i="6"/>
  <c r="X52" i="6" l="1"/>
  <c r="Y51" i="6"/>
  <c r="X53" i="6" l="1"/>
  <c r="Y52" i="6"/>
  <c r="X54" i="6" l="1"/>
  <c r="Y53" i="6"/>
  <c r="X55" i="6" l="1"/>
  <c r="Y54" i="6"/>
  <c r="Y55" i="6" l="1"/>
  <c r="X56" i="6"/>
  <c r="Y56" i="6" l="1"/>
  <c r="X57" i="6"/>
  <c r="Y57" i="6" l="1"/>
  <c r="X58" i="6"/>
  <c r="X59" i="6" l="1"/>
  <c r="Y58" i="6"/>
  <c r="X60" i="6" l="1"/>
  <c r="Y59" i="6"/>
  <c r="X61" i="6" l="1"/>
  <c r="Y60" i="6"/>
  <c r="Y61" i="6" l="1"/>
  <c r="X62" i="6"/>
  <c r="Y62" i="6" l="1"/>
  <c r="X63" i="6"/>
  <c r="X64" i="6" l="1"/>
  <c r="Y63" i="6"/>
  <c r="Y64" i="6" l="1"/>
  <c r="X65" i="6"/>
  <c r="X66" i="6" l="1"/>
  <c r="Y65" i="6"/>
  <c r="Y66" i="6" l="1"/>
  <c r="X67" i="6"/>
  <c r="X68" i="6" l="1"/>
  <c r="Y67" i="6"/>
  <c r="Y68" i="6" l="1"/>
  <c r="X69" i="6"/>
  <c r="X70" i="6" l="1"/>
  <c r="Y69" i="6"/>
  <c r="Y70" i="6" l="1"/>
  <c r="X71" i="6"/>
  <c r="X72" i="6" l="1"/>
  <c r="Y71" i="6"/>
  <c r="X73" i="6" l="1"/>
  <c r="Y72" i="6"/>
  <c r="X74" i="6" l="1"/>
  <c r="Y73" i="6"/>
  <c r="Y74" i="6" l="1"/>
  <c r="X75" i="6"/>
  <c r="X76" i="6" l="1"/>
  <c r="Y75" i="6"/>
  <c r="Y76" i="6" l="1"/>
  <c r="X77" i="6"/>
  <c r="Y77" i="6" l="1"/>
  <c r="X78" i="6"/>
  <c r="Y78" i="6" l="1"/>
  <c r="X79" i="6"/>
  <c r="Y79" i="6" l="1"/>
  <c r="X80" i="6" l="1"/>
  <c r="Y80" i="6" l="1"/>
  <c r="X81" i="6"/>
  <c r="X82" i="6" l="1"/>
  <c r="Y81" i="6"/>
  <c r="X83" i="6" l="1"/>
  <c r="Y82" i="6"/>
  <c r="X84" i="6" l="1"/>
  <c r="Y83" i="6"/>
  <c r="Y84" i="6" l="1"/>
  <c r="X85" i="6"/>
  <c r="X86" i="6" l="1"/>
  <c r="Y85" i="6"/>
  <c r="Y86" i="6" l="1"/>
  <c r="X87" i="6"/>
  <c r="X88" i="6" l="1"/>
  <c r="Y87" i="6"/>
  <c r="Y88" i="6" l="1"/>
  <c r="X89" i="6"/>
  <c r="X90" i="6" l="1"/>
  <c r="Y89" i="6"/>
  <c r="X91" i="6" l="1"/>
  <c r="Y90" i="6"/>
  <c r="X92" i="6" l="1"/>
  <c r="Y91" i="6"/>
  <c r="Y92" i="6" l="1"/>
  <c r="X93" i="6"/>
  <c r="X94" i="6" l="1"/>
  <c r="Y93" i="6"/>
  <c r="Y94" i="6" l="1"/>
  <c r="X95" i="6"/>
  <c r="X96" i="6" l="1"/>
  <c r="Y95" i="6"/>
  <c r="Y96" i="6" l="1"/>
  <c r="X97" i="6"/>
  <c r="X98" i="6" l="1"/>
  <c r="Y97" i="6"/>
  <c r="Y98" i="6" l="1"/>
  <c r="X99" i="6"/>
  <c r="Y99" i="6" l="1"/>
  <c r="X100" i="6"/>
  <c r="Y100" i="6" l="1"/>
  <c r="X101" i="6"/>
  <c r="X102" i="6" l="1"/>
  <c r="Y101" i="6"/>
  <c r="Y102" i="6" l="1"/>
  <c r="X103" i="6"/>
  <c r="X104" i="6" l="1"/>
  <c r="Y103" i="6"/>
  <c r="X105" i="6" l="1"/>
  <c r="Y104" i="6"/>
  <c r="Y105" i="6" l="1"/>
  <c r="X158" i="6" l="1"/>
  <c r="Y158" i="6" l="1"/>
  <c r="X159" i="6"/>
  <c r="X160" i="6" l="1"/>
  <c r="Y159" i="6"/>
  <c r="Y160" i="6" l="1"/>
  <c r="X161" i="6"/>
  <c r="X162" i="6" l="1"/>
  <c r="Y161" i="6"/>
  <c r="Y162" i="6" l="1"/>
  <c r="X163" i="6"/>
  <c r="X164" i="6" l="1"/>
  <c r="Y163" i="6"/>
  <c r="X165" i="6" l="1"/>
  <c r="Y164" i="6"/>
  <c r="X166" i="6" l="1"/>
  <c r="Y165" i="6"/>
  <c r="Y166" i="6" l="1"/>
  <c r="X167" i="6"/>
  <c r="X168" i="6" l="1"/>
  <c r="Y167" i="6"/>
  <c r="Y168" i="6" l="1"/>
  <c r="X169" i="6"/>
  <c r="X170" i="6" l="1"/>
  <c r="Y169" i="6"/>
  <c r="Y170" i="6" l="1"/>
  <c r="X171" i="6"/>
  <c r="Y171" i="6" l="1"/>
  <c r="X172" i="6"/>
  <c r="Y172" i="6" l="1"/>
  <c r="X173" i="6"/>
  <c r="X174" i="6" l="1"/>
  <c r="Y173" i="6"/>
  <c r="Y174" i="6" l="1"/>
  <c r="X175" i="6"/>
  <c r="X176" i="6" l="1"/>
  <c r="Y175" i="6"/>
  <c r="Y176" i="6" l="1"/>
  <c r="X177" i="6"/>
  <c r="X178" i="6" l="1"/>
  <c r="Y177" i="6"/>
  <c r="X179" i="6" l="1"/>
  <c r="Y178" i="6"/>
  <c r="X180" i="6" l="1"/>
  <c r="Y179" i="6"/>
  <c r="X181" i="6" l="1"/>
  <c r="Y180" i="6"/>
  <c r="X182" i="6" l="1"/>
  <c r="Y181" i="6"/>
  <c r="Y182" i="6" l="1"/>
  <c r="X183" i="6"/>
  <c r="Y183" i="6" l="1"/>
  <c r="X184" i="6" l="1"/>
  <c r="Y184" i="6" l="1"/>
  <c r="X185" i="6"/>
  <c r="X186" i="6" l="1"/>
  <c r="Y185" i="6"/>
  <c r="Y186" i="6" l="1"/>
  <c r="X187" i="6"/>
  <c r="X188" i="6" l="1"/>
  <c r="Y187" i="6"/>
  <c r="Y188" i="6" l="1"/>
  <c r="X189" i="6"/>
  <c r="X190" i="6" l="1"/>
  <c r="Y189" i="6"/>
  <c r="Y190" i="6" l="1"/>
  <c r="X191" i="6"/>
  <c r="X192" i="6" l="1"/>
  <c r="X193" i="6" s="1"/>
  <c r="Y191" i="6"/>
  <c r="X194" i="6" l="1"/>
  <c r="Y193" i="6"/>
  <c r="Y192" i="6"/>
  <c r="X195" i="6" l="1"/>
  <c r="Y194" i="6"/>
  <c r="X196" i="6" l="1"/>
  <c r="Y195" i="6"/>
  <c r="X197" i="6" l="1"/>
  <c r="Y196" i="6"/>
  <c r="X198" i="6" l="1"/>
  <c r="Y197" i="6"/>
  <c r="Y198" i="6" l="1"/>
  <c r="X199" i="6"/>
  <c r="Y199" i="6" l="1"/>
  <c r="X200" i="6"/>
  <c r="X201" i="6" l="1"/>
  <c r="Y200" i="6"/>
  <c r="Y201" i="6" l="1"/>
  <c r="X202" i="6"/>
  <c r="X203" i="6" l="1"/>
  <c r="Y202" i="6"/>
  <c r="Y203" i="6" l="1"/>
  <c r="X204" i="6"/>
  <c r="X205" i="6" l="1"/>
  <c r="Y204" i="6"/>
  <c r="Y205" i="6" l="1"/>
  <c r="X206" i="6"/>
  <c r="X207" i="6" l="1"/>
  <c r="Y206" i="6"/>
  <c r="Y207" i="6" l="1"/>
  <c r="X208" i="6"/>
  <c r="X209" i="6" l="1"/>
  <c r="Y208" i="6"/>
  <c r="Y209" i="6" l="1"/>
  <c r="X210" i="6"/>
  <c r="X211" i="6" l="1"/>
  <c r="Y210" i="6"/>
  <c r="Y211" i="6" l="1"/>
  <c r="X212" i="6"/>
  <c r="X213" i="6" l="1"/>
  <c r="Y212" i="6"/>
  <c r="Y213" i="6" l="1"/>
  <c r="X214" i="6"/>
  <c r="X215" i="6" l="1"/>
  <c r="Y214" i="6"/>
  <c r="Y215" i="6" l="1"/>
  <c r="X216" i="6"/>
  <c r="X217" i="6" l="1"/>
  <c r="Y216" i="6"/>
  <c r="X218" i="6" l="1"/>
  <c r="Y217" i="6"/>
  <c r="X219" i="6" l="1"/>
  <c r="Y218" i="6"/>
  <c r="X220" i="6" l="1"/>
  <c r="Y219" i="6"/>
  <c r="X221" i="6" l="1"/>
  <c r="Y220" i="6"/>
  <c r="X222" i="6" l="1"/>
  <c r="Y221" i="6"/>
  <c r="X223" i="6" l="1"/>
  <c r="Y222" i="6"/>
  <c r="X224" i="6" l="1"/>
  <c r="Y223" i="6"/>
  <c r="X225" i="6" l="1"/>
  <c r="Y224" i="6"/>
  <c r="X226" i="6" l="1"/>
  <c r="Y225" i="6"/>
  <c r="X227" i="6" l="1"/>
  <c r="Y226" i="6"/>
  <c r="X228" i="6" l="1"/>
  <c r="Y227" i="6"/>
  <c r="X229" i="6" l="1"/>
  <c r="Y228" i="6"/>
  <c r="X230" i="6" l="1"/>
  <c r="Y229" i="6"/>
  <c r="Y230" i="6" l="1"/>
  <c r="X231" i="6"/>
  <c r="Y231" i="6" l="1"/>
  <c r="X232" i="6"/>
  <c r="X233" i="6" l="1"/>
  <c r="Y232" i="6"/>
  <c r="Y233" i="6" l="1"/>
  <c r="X234" i="6"/>
  <c r="X235" i="6" l="1"/>
  <c r="Y234" i="6"/>
  <c r="X236" i="6" l="1"/>
  <c r="Y235" i="6"/>
  <c r="X262" i="6"/>
  <c r="X237" i="6" l="1"/>
  <c r="Y236" i="6"/>
  <c r="X263" i="6"/>
  <c r="Y262" i="6"/>
  <c r="Y263" i="6" l="1"/>
  <c r="X264" i="6"/>
  <c r="X238" i="6"/>
  <c r="Y237" i="6"/>
  <c r="Y238" i="6" l="1"/>
  <c r="X239" i="6"/>
  <c r="X265" i="6"/>
  <c r="Y264" i="6"/>
  <c r="Y265" i="6" l="1"/>
  <c r="X266" i="6"/>
  <c r="X240" i="6"/>
  <c r="Y239" i="6"/>
  <c r="X267" i="6" l="1"/>
  <c r="Y266" i="6"/>
  <c r="X241" i="6"/>
  <c r="Y240" i="6"/>
  <c r="Y267" i="6" l="1"/>
  <c r="X268" i="6"/>
  <c r="Y241" i="6"/>
  <c r="X242" i="6"/>
  <c r="X269" i="6" l="1"/>
  <c r="Y268" i="6"/>
  <c r="Y242" i="6"/>
  <c r="X243" i="6"/>
  <c r="Y269" i="6" l="1"/>
  <c r="X270" i="6"/>
  <c r="Y243" i="6"/>
  <c r="X244" i="6"/>
  <c r="X271" i="6" l="1"/>
  <c r="Y270" i="6"/>
  <c r="Y244" i="6"/>
  <c r="X245" i="6"/>
  <c r="Y271" i="6" l="1"/>
  <c r="X272" i="6"/>
  <c r="Y245" i="6"/>
  <c r="X246" i="6"/>
  <c r="X273" i="6" l="1"/>
  <c r="Y272" i="6"/>
  <c r="Y246" i="6"/>
  <c r="X247" i="6"/>
  <c r="Y273" i="6" l="1"/>
  <c r="X274" i="6"/>
  <c r="Y247" i="6"/>
  <c r="X248" i="6"/>
  <c r="X275" i="6" l="1"/>
  <c r="Y274" i="6"/>
  <c r="Y248" i="6"/>
  <c r="X249" i="6"/>
  <c r="Y275" i="6" l="1"/>
  <c r="X276" i="6"/>
  <c r="X250" i="6"/>
  <c r="Y249" i="6"/>
  <c r="X277" i="6" l="1"/>
  <c r="Y276" i="6"/>
  <c r="X251" i="6"/>
  <c r="Y250" i="6"/>
  <c r="X278" i="6" l="1"/>
  <c r="Y277" i="6"/>
  <c r="X252" i="6"/>
  <c r="Y251" i="6"/>
  <c r="X279" i="6" l="1"/>
  <c r="Y278" i="6"/>
  <c r="X253" i="6"/>
  <c r="Y252" i="6"/>
  <c r="Y279" i="6" l="1"/>
  <c r="X280" i="6"/>
  <c r="Y253" i="6"/>
  <c r="X254" i="6"/>
  <c r="X281" i="6" l="1"/>
  <c r="Y280" i="6"/>
  <c r="Y254" i="6"/>
  <c r="X255" i="6"/>
  <c r="Y281" i="6" l="1"/>
  <c r="X282" i="6"/>
  <c r="Y255" i="6"/>
  <c r="X256" i="6"/>
  <c r="X283" i="6" l="1"/>
  <c r="Y282" i="6"/>
  <c r="Y256" i="6"/>
  <c r="X257" i="6"/>
  <c r="Y283" i="6" l="1"/>
  <c r="X284" i="6"/>
  <c r="X258" i="6"/>
  <c r="Y257" i="6"/>
  <c r="X285" i="6" l="1"/>
  <c r="Y284" i="6"/>
  <c r="X259" i="6"/>
  <c r="Y258" i="6"/>
  <c r="Y285" i="6" l="1"/>
  <c r="X286" i="6"/>
  <c r="X260" i="6"/>
  <c r="Y259" i="6"/>
  <c r="X287" i="6" l="1"/>
  <c r="Y286" i="6"/>
  <c r="Y260" i="6"/>
  <c r="X261" i="6"/>
  <c r="Y261" i="6" s="1"/>
  <c r="Y287" i="6" l="1"/>
  <c r="X288" i="6" l="1"/>
  <c r="Y288" i="6" l="1"/>
  <c r="X289" i="6"/>
  <c r="X290" i="6" l="1"/>
  <c r="Y289" i="6"/>
  <c r="Y290" i="6" l="1"/>
  <c r="X291" i="6"/>
  <c r="X292" i="6" l="1"/>
  <c r="Y291" i="6"/>
  <c r="Y292" i="6" l="1"/>
  <c r="X293" i="6"/>
  <c r="X294" i="6" l="1"/>
  <c r="Y293" i="6"/>
  <c r="Y294" i="6" l="1"/>
  <c r="X295" i="6"/>
  <c r="X296" i="6" l="1"/>
  <c r="Y295" i="6"/>
  <c r="Y296" i="6" l="1"/>
  <c r="X297" i="6"/>
  <c r="X298" i="6" l="1"/>
  <c r="Y297" i="6"/>
  <c r="Y298" i="6" l="1"/>
  <c r="X299" i="6"/>
  <c r="X300" i="6" l="1"/>
  <c r="Y299" i="6"/>
  <c r="Y300" i="6" l="1"/>
  <c r="X301" i="6"/>
  <c r="X302" i="6" l="1"/>
  <c r="Y301" i="6"/>
  <c r="Y302" i="6" l="1"/>
  <c r="X303" i="6"/>
  <c r="X304" i="6" l="1"/>
  <c r="Y303" i="6"/>
  <c r="Y304" i="6" l="1"/>
  <c r="X305" i="6"/>
  <c r="X306" i="6" l="1"/>
  <c r="Y305" i="6"/>
  <c r="Y306" i="6" l="1"/>
  <c r="X307" i="6"/>
  <c r="X308" i="6" l="1"/>
  <c r="Y307" i="6"/>
  <c r="Y308" i="6" l="1"/>
  <c r="X309" i="6"/>
  <c r="X310" i="6" l="1"/>
  <c r="Y309" i="6"/>
  <c r="Y310" i="6" l="1"/>
  <c r="X311" i="6"/>
  <c r="X312" i="6" l="1"/>
  <c r="Y311" i="6"/>
  <c r="Y312" i="6" l="1"/>
  <c r="X313" i="6"/>
  <c r="Y313" i="6" l="1"/>
  <c r="X314" i="6" l="1"/>
  <c r="Y314" i="6" l="1"/>
  <c r="X315" i="6"/>
  <c r="X316" i="6" l="1"/>
  <c r="Y315" i="6"/>
  <c r="Y316" i="6" l="1"/>
  <c r="X317" i="6"/>
  <c r="X318" i="6" l="1"/>
  <c r="Y317" i="6"/>
  <c r="Y318" i="6" l="1"/>
  <c r="X319" i="6"/>
  <c r="X320" i="6" l="1"/>
  <c r="Y319" i="6"/>
  <c r="Y320" i="6" l="1"/>
  <c r="X321" i="6"/>
  <c r="X322" i="6" l="1"/>
  <c r="Y321" i="6"/>
  <c r="Y322" i="6" l="1"/>
  <c r="X323" i="6"/>
  <c r="X324" i="6" l="1"/>
  <c r="Y323" i="6"/>
  <c r="Y324" i="6" l="1"/>
  <c r="X325" i="6"/>
  <c r="X326" i="6" l="1"/>
  <c r="Y325" i="6"/>
  <c r="Y326" i="6" l="1"/>
  <c r="X327" i="6"/>
  <c r="X328" i="6" l="1"/>
  <c r="Y327" i="6"/>
  <c r="Y328" i="6" l="1"/>
  <c r="X329" i="6"/>
  <c r="X330" i="6" l="1"/>
  <c r="Y329" i="6"/>
  <c r="Y330" i="6" l="1"/>
  <c r="X331" i="6"/>
  <c r="X332" i="6" l="1"/>
  <c r="Y331" i="6"/>
  <c r="Y332" i="6" l="1"/>
  <c r="X333" i="6"/>
  <c r="X334" i="6" l="1"/>
  <c r="Y333" i="6"/>
  <c r="Y334" i="6" l="1"/>
  <c r="X335" i="6"/>
  <c r="X336" i="6" l="1"/>
  <c r="Y335" i="6"/>
  <c r="Y336" i="6" l="1"/>
  <c r="X337" i="6"/>
  <c r="X338" i="6" l="1"/>
  <c r="Y337" i="6"/>
  <c r="Y338" i="6" l="1"/>
  <c r="X339" i="6"/>
  <c r="X340" i="6" l="1"/>
  <c r="Y339" i="6"/>
  <c r="X341" i="6" l="1"/>
  <c r="Y340" i="6"/>
  <c r="Y341" i="6" l="1"/>
  <c r="X342" i="6"/>
  <c r="Y342" i="6" l="1"/>
  <c r="X343" i="6"/>
  <c r="X344" i="6" l="1"/>
  <c r="Y343" i="6"/>
  <c r="X345" i="6" l="1"/>
  <c r="Y344" i="6"/>
  <c r="Y345" i="6" l="1"/>
  <c r="X346" i="6"/>
  <c r="Y346" i="6" l="1"/>
  <c r="X347" i="6"/>
  <c r="Y347" i="6" l="1"/>
  <c r="X348" i="6"/>
  <c r="Y348" i="6" l="1"/>
  <c r="X349" i="6"/>
  <c r="X350" i="6" l="1"/>
  <c r="Y349" i="6"/>
  <c r="Y350" i="6" l="1"/>
  <c r="X351" i="6"/>
  <c r="Y351" i="6" l="1"/>
  <c r="X352" i="6"/>
  <c r="X353" i="6" l="1"/>
  <c r="Y352" i="6"/>
  <c r="X354" i="6" l="1"/>
  <c r="Y353" i="6"/>
  <c r="Y354" i="6" l="1"/>
  <c r="X355" i="6"/>
  <c r="Y355" i="6" l="1"/>
  <c r="X356" i="6"/>
  <c r="Y356" i="6" l="1"/>
  <c r="X357" i="6"/>
  <c r="Y357" i="6" l="1"/>
  <c r="X358" i="6"/>
  <c r="Y358" i="6" l="1"/>
  <c r="X359" i="6"/>
  <c r="Y359" i="6" l="1"/>
  <c r="X360" i="6"/>
  <c r="Y360" i="6" l="1"/>
  <c r="X361" i="6"/>
  <c r="Y361" i="6" l="1"/>
  <c r="X362" i="6"/>
  <c r="Y362" i="6" l="1"/>
  <c r="X363" i="6"/>
  <c r="Y363" i="6" l="1"/>
  <c r="X364" i="6"/>
  <c r="Y364" i="6" l="1"/>
  <c r="X365" i="6"/>
  <c r="Y365" i="6" s="1"/>
  <c r="X366" i="6" l="1"/>
  <c r="Y366" i="6" l="1"/>
  <c r="X367" i="6"/>
  <c r="X368" i="6" l="1"/>
  <c r="Y367" i="6"/>
  <c r="Y368" i="6" l="1"/>
  <c r="X369" i="6"/>
  <c r="X370" i="6" l="1"/>
  <c r="Y369" i="6"/>
  <c r="Y370" i="6" l="1"/>
  <c r="X371" i="6"/>
  <c r="X372" i="6" l="1"/>
  <c r="Y371" i="6"/>
  <c r="Y372" i="6" l="1"/>
  <c r="X373" i="6"/>
  <c r="X374" i="6" l="1"/>
  <c r="Y373" i="6"/>
  <c r="Y374" i="6" l="1"/>
  <c r="X375" i="6"/>
  <c r="X376" i="6" l="1"/>
  <c r="Y375" i="6"/>
  <c r="Y376" i="6" l="1"/>
  <c r="X377" i="6"/>
  <c r="X378" i="6" l="1"/>
  <c r="Y377" i="6"/>
  <c r="Y378" i="6" l="1"/>
  <c r="X379" i="6"/>
  <c r="X380" i="6" l="1"/>
  <c r="Y379" i="6"/>
  <c r="Y380" i="6" l="1"/>
  <c r="X381" i="6"/>
  <c r="X382" i="6" l="1"/>
  <c r="Y381" i="6"/>
  <c r="Y382" i="6" l="1"/>
  <c r="X383" i="6"/>
  <c r="X384" i="6" l="1"/>
  <c r="Y383" i="6"/>
  <c r="Y384" i="6" l="1"/>
  <c r="X385" i="6"/>
  <c r="X386" i="6" l="1"/>
  <c r="Y385" i="6"/>
  <c r="Y386" i="6" l="1"/>
  <c r="X387" i="6"/>
  <c r="X388" i="6" l="1"/>
  <c r="Y387" i="6"/>
  <c r="Y388" i="6" l="1"/>
  <c r="X389" i="6"/>
  <c r="X390" i="6" l="1"/>
  <c r="Y389" i="6"/>
  <c r="Y390" i="6" l="1"/>
  <c r="X391" i="6"/>
  <c r="Y391" i="6" l="1"/>
  <c r="X392" i="6" l="1"/>
  <c r="Y392" i="6" l="1"/>
  <c r="X393" i="6"/>
  <c r="X394" i="6" l="1"/>
  <c r="Y393" i="6"/>
  <c r="Y394" i="6" l="1"/>
  <c r="X395" i="6"/>
  <c r="X396" i="6" l="1"/>
  <c r="Y395" i="6"/>
  <c r="Y396" i="6" l="1"/>
  <c r="X397" i="6"/>
  <c r="X398" i="6" l="1"/>
  <c r="Y397" i="6"/>
  <c r="Y398" i="6" l="1"/>
  <c r="X399" i="6"/>
  <c r="X400" i="6" l="1"/>
  <c r="Y399" i="6"/>
  <c r="Y400" i="6" l="1"/>
  <c r="X401" i="6"/>
  <c r="X402" i="6" l="1"/>
  <c r="Y401" i="6"/>
  <c r="Y402" i="6" l="1"/>
  <c r="X403" i="6"/>
  <c r="X404" i="6" l="1"/>
  <c r="Y403" i="6"/>
  <c r="Y404" i="6" l="1"/>
  <c r="X405" i="6"/>
  <c r="X406" i="6" l="1"/>
  <c r="Y405" i="6"/>
  <c r="Y406" i="6" l="1"/>
  <c r="X407" i="6"/>
  <c r="X408" i="6" l="1"/>
  <c r="Y407" i="6"/>
  <c r="Y408" i="6" l="1"/>
  <c r="X409" i="6"/>
  <c r="X410" i="6" l="1"/>
  <c r="Y409" i="6"/>
  <c r="Y410" i="6" l="1"/>
  <c r="X411" i="6"/>
  <c r="X412" i="6" l="1"/>
  <c r="Y411" i="6"/>
  <c r="Y412" i="6" l="1"/>
  <c r="X413" i="6"/>
  <c r="X414" i="6" l="1"/>
  <c r="Y413" i="6"/>
  <c r="Y414" i="6" l="1"/>
  <c r="X415" i="6"/>
  <c r="X416" i="6" l="1"/>
  <c r="Y415" i="6"/>
  <c r="Y416" i="6" l="1"/>
  <c r="X417" i="6"/>
  <c r="X418" i="6" l="1"/>
  <c r="Y417" i="6"/>
  <c r="Y418" i="6" l="1"/>
  <c r="X419" i="6"/>
  <c r="X420" i="6" l="1"/>
  <c r="Y419" i="6"/>
  <c r="Y420" i="6" l="1"/>
  <c r="X421" i="6"/>
  <c r="X422" i="6" l="1"/>
  <c r="Y421" i="6"/>
  <c r="Y422" i="6" l="1"/>
  <c r="X423" i="6"/>
  <c r="X424" i="6" l="1"/>
  <c r="Y423" i="6"/>
  <c r="Y424" i="6" l="1"/>
  <c r="X425" i="6"/>
  <c r="X426" i="6" l="1"/>
  <c r="Y425" i="6"/>
  <c r="Y426" i="6" l="1"/>
  <c r="X427" i="6"/>
  <c r="X428" i="6" l="1"/>
  <c r="Y427" i="6"/>
  <c r="Y428" i="6" l="1"/>
  <c r="X429" i="6"/>
  <c r="X430" i="6" l="1"/>
  <c r="Y429" i="6"/>
  <c r="Y430" i="6" l="1"/>
  <c r="X431" i="6"/>
  <c r="X432" i="6" l="1"/>
  <c r="Y431" i="6"/>
  <c r="Y432" i="6" l="1"/>
  <c r="X433" i="6"/>
  <c r="X434" i="6" l="1"/>
  <c r="Y433" i="6"/>
  <c r="Y434" i="6" l="1"/>
  <c r="X435" i="6"/>
  <c r="X436" i="6" l="1"/>
  <c r="Y435" i="6"/>
  <c r="Y436" i="6" l="1"/>
  <c r="X437" i="6"/>
  <c r="X438" i="6" l="1"/>
  <c r="Y437" i="6"/>
  <c r="Y438" i="6" l="1"/>
  <c r="X439" i="6"/>
  <c r="X440" i="6" l="1"/>
  <c r="Y439" i="6"/>
  <c r="Y440" i="6" l="1"/>
  <c r="X441" i="6"/>
  <c r="X442" i="6" l="1"/>
  <c r="Y441" i="6"/>
  <c r="Y442" i="6" l="1"/>
  <c r="X443" i="6"/>
  <c r="Y443" i="6" l="1"/>
  <c r="X444" i="6" l="1"/>
  <c r="X445" i="6" l="1"/>
  <c r="Y444" i="6"/>
  <c r="X446" i="6" l="1"/>
  <c r="Y445" i="6"/>
  <c r="X447" i="6" l="1"/>
  <c r="Y446" i="6"/>
  <c r="X448" i="6" l="1"/>
  <c r="Y447" i="6"/>
  <c r="X449" i="6" l="1"/>
  <c r="Y448" i="6"/>
  <c r="X450" i="6" l="1"/>
  <c r="Y449" i="6"/>
  <c r="X451" i="6" l="1"/>
  <c r="Y450" i="6"/>
  <c r="X452" i="6" l="1"/>
  <c r="Y451" i="6"/>
  <c r="X453" i="6" l="1"/>
  <c r="Y452" i="6"/>
  <c r="X454" i="6" l="1"/>
  <c r="Y453" i="6"/>
  <c r="X455" i="6" l="1"/>
  <c r="Y454" i="6"/>
  <c r="X456" i="6" l="1"/>
  <c r="Y455" i="6"/>
  <c r="X457" i="6" l="1"/>
  <c r="Y456" i="6"/>
  <c r="X458" i="6" l="1"/>
  <c r="Y457" i="6"/>
  <c r="X459" i="6" l="1"/>
  <c r="Y458" i="6"/>
  <c r="X460" i="6" l="1"/>
  <c r="Y459" i="6"/>
  <c r="X461" i="6" l="1"/>
  <c r="Y460" i="6"/>
  <c r="X462" i="6" l="1"/>
  <c r="Y461" i="6"/>
  <c r="X463" i="6" l="1"/>
  <c r="Y462" i="6"/>
  <c r="X464" i="6" l="1"/>
  <c r="Y463" i="6"/>
  <c r="X465" i="6" l="1"/>
  <c r="Y464" i="6"/>
  <c r="X466" i="6" l="1"/>
  <c r="Y465" i="6"/>
  <c r="X467" i="6" l="1"/>
  <c r="Y466" i="6"/>
  <c r="X468" i="6" l="1"/>
  <c r="Y467" i="6"/>
  <c r="X469" i="6" l="1"/>
  <c r="Y468" i="6"/>
  <c r="Y469" i="6" l="1"/>
  <c r="X470" i="6" l="1"/>
  <c r="X471" i="6" l="1"/>
  <c r="Y470" i="6"/>
  <c r="X472" i="6" l="1"/>
  <c r="Y471" i="6"/>
  <c r="X473" i="6" l="1"/>
  <c r="Y472" i="6"/>
  <c r="X474" i="6" l="1"/>
  <c r="Y473" i="6"/>
  <c r="X475" i="6" l="1"/>
  <c r="Y474" i="6"/>
  <c r="X476" i="6" l="1"/>
  <c r="Y475" i="6"/>
  <c r="X477" i="6" l="1"/>
  <c r="Y476" i="6"/>
  <c r="X478" i="6" l="1"/>
  <c r="Y477" i="6"/>
  <c r="X479" i="6" l="1"/>
  <c r="Y478" i="6"/>
  <c r="X480" i="6" l="1"/>
  <c r="Y479" i="6"/>
  <c r="X481" i="6" l="1"/>
  <c r="Y480" i="6"/>
  <c r="X482" i="6" l="1"/>
  <c r="Y481" i="6"/>
  <c r="X483" i="6" l="1"/>
  <c r="Y482" i="6"/>
  <c r="X484" i="6" l="1"/>
  <c r="Y483" i="6"/>
  <c r="X485" i="6" l="1"/>
  <c r="Y484" i="6"/>
  <c r="X486" i="6" l="1"/>
  <c r="Y485" i="6"/>
  <c r="X487" i="6" l="1"/>
  <c r="Y486" i="6"/>
  <c r="X488" i="6" l="1"/>
  <c r="Y487" i="6"/>
  <c r="X489" i="6" l="1"/>
  <c r="Y488" i="6"/>
  <c r="X490" i="6" l="1"/>
  <c r="Y489" i="6"/>
  <c r="X491" i="6" l="1"/>
  <c r="Y490" i="6"/>
  <c r="X492" i="6" l="1"/>
  <c r="Y491" i="6"/>
  <c r="X493" i="6" l="1"/>
  <c r="Y492" i="6"/>
  <c r="X494" i="6" l="1"/>
  <c r="Y493" i="6"/>
  <c r="X495" i="6" l="1"/>
  <c r="Y494" i="6"/>
  <c r="Y495" i="6" l="1"/>
  <c r="X496" i="6" l="1"/>
  <c r="X497" i="6" l="1"/>
  <c r="Y496" i="6"/>
  <c r="X498" i="6" l="1"/>
  <c r="Y497" i="6"/>
  <c r="X499" i="6" l="1"/>
  <c r="Y498" i="6"/>
  <c r="X500" i="6" l="1"/>
  <c r="Y499" i="6"/>
  <c r="X501" i="6" l="1"/>
  <c r="Y500" i="6"/>
  <c r="Y501" i="6" l="1"/>
  <c r="X502" i="6"/>
  <c r="X503" i="6" l="1"/>
  <c r="Y502" i="6"/>
  <c r="X504" i="6" l="1"/>
  <c r="Y503" i="6"/>
  <c r="X505" i="6" l="1"/>
  <c r="Y504" i="6"/>
  <c r="X506" i="6" l="1"/>
  <c r="Y505" i="6"/>
  <c r="X507" i="6" l="1"/>
  <c r="Y506" i="6"/>
  <c r="X508" i="6" l="1"/>
  <c r="Y507" i="6"/>
  <c r="X509" i="6" l="1"/>
  <c r="Y508" i="6"/>
  <c r="X510" i="6" l="1"/>
  <c r="Y509" i="6"/>
  <c r="X511" i="6" l="1"/>
  <c r="Y510" i="6"/>
  <c r="X512" i="6" l="1"/>
  <c r="Y511" i="6"/>
  <c r="X513" i="6" l="1"/>
  <c r="Y512" i="6"/>
  <c r="X514" i="6" l="1"/>
  <c r="Y513" i="6"/>
  <c r="X515" i="6" l="1"/>
  <c r="Y514" i="6"/>
  <c r="X516" i="6" l="1"/>
  <c r="Y515" i="6"/>
  <c r="X517" i="6" l="1"/>
  <c r="Y516" i="6"/>
  <c r="X518" i="6" l="1"/>
  <c r="Y517" i="6"/>
  <c r="X519" i="6" l="1"/>
  <c r="Y518" i="6"/>
  <c r="X520" i="6" l="1"/>
  <c r="Y519" i="6"/>
  <c r="X521" i="6" l="1"/>
  <c r="Y520" i="6"/>
  <c r="Y521" i="6" l="1"/>
  <c r="X522" i="6" l="1"/>
  <c r="X523" i="6" l="1"/>
  <c r="Y522" i="6"/>
  <c r="X524" i="6" l="1"/>
  <c r="Y523" i="6"/>
  <c r="X525" i="6" l="1"/>
  <c r="Y524" i="6"/>
  <c r="X526" i="6" l="1"/>
  <c r="Y525" i="6"/>
  <c r="X527" i="6" l="1"/>
  <c r="Y526" i="6"/>
  <c r="X528" i="6" l="1"/>
  <c r="Y527" i="6"/>
  <c r="Y528" i="6" l="1"/>
  <c r="X529" i="6"/>
  <c r="Y529" i="6" l="1"/>
  <c r="X530" i="6"/>
  <c r="Y530" i="6" l="1"/>
  <c r="X531" i="6"/>
  <c r="Y531" i="6" l="1"/>
  <c r="X532" i="6"/>
  <c r="X533" i="6" l="1"/>
  <c r="Y532" i="6"/>
  <c r="Y533" i="6" l="1"/>
  <c r="X534" i="6"/>
  <c r="X535" i="6" l="1"/>
  <c r="Y534" i="6"/>
  <c r="X536" i="6" l="1"/>
  <c r="Y535" i="6"/>
  <c r="X537" i="6" l="1"/>
  <c r="Y536" i="6"/>
  <c r="X538" i="6" l="1"/>
  <c r="Y537" i="6"/>
  <c r="X539" i="6" l="1"/>
  <c r="Y538" i="6"/>
  <c r="Y539" i="6" l="1"/>
  <c r="X540" i="6"/>
  <c r="X541" i="6" l="1"/>
  <c r="Y540" i="6"/>
  <c r="Y541" i="6" l="1"/>
  <c r="X542" i="6"/>
  <c r="X543" i="6" l="1"/>
  <c r="Y542" i="6"/>
  <c r="X544" i="6" l="1"/>
  <c r="Y543" i="6"/>
  <c r="X545" i="6" l="1"/>
  <c r="Y544" i="6"/>
  <c r="X546" i="6" l="1"/>
  <c r="Y545" i="6"/>
  <c r="X547" i="6" l="1"/>
  <c r="Y546" i="6"/>
  <c r="Y547" i="6" l="1"/>
  <c r="X548" i="6" l="1"/>
  <c r="Y548" i="6" l="1"/>
  <c r="X549" i="6"/>
  <c r="X550" i="6" l="1"/>
  <c r="Y549" i="6"/>
  <c r="Y550" i="6" l="1"/>
  <c r="X551" i="6"/>
  <c r="X552" i="6" l="1"/>
  <c r="Y551" i="6"/>
  <c r="Y552" i="6" l="1"/>
  <c r="X553" i="6"/>
  <c r="X554" i="6" l="1"/>
  <c r="Y553" i="6"/>
  <c r="X555" i="6" l="1"/>
  <c r="Y554" i="6"/>
  <c r="X556" i="6" l="1"/>
  <c r="Y555" i="6"/>
  <c r="Y556" i="6" l="1"/>
  <c r="X557" i="6"/>
  <c r="X558" i="6" l="1"/>
  <c r="Y557" i="6"/>
  <c r="Y558" i="6" l="1"/>
  <c r="X559" i="6"/>
  <c r="X560" i="6" l="1"/>
  <c r="Y559" i="6"/>
  <c r="Y560" i="6" l="1"/>
  <c r="X561" i="6"/>
  <c r="Y561" i="6" l="1"/>
  <c r="X562" i="6"/>
  <c r="Y562" i="6" l="1"/>
  <c r="X563" i="6"/>
  <c r="X564" i="6" l="1"/>
  <c r="Y563" i="6"/>
  <c r="Y564" i="6" l="1"/>
  <c r="X565" i="6"/>
  <c r="X566" i="6" l="1"/>
  <c r="Y565" i="6"/>
  <c r="Y566" i="6" l="1"/>
  <c r="X567" i="6"/>
  <c r="X568" i="6" l="1"/>
  <c r="Y567" i="6"/>
  <c r="X569" i="6" l="1"/>
  <c r="Y568" i="6"/>
  <c r="Y569" i="6" l="1"/>
  <c r="X570" i="6"/>
  <c r="Y570" i="6" l="1"/>
  <c r="X571" i="6"/>
  <c r="X572" i="6" l="1"/>
  <c r="Y571" i="6"/>
  <c r="Y572" i="6" l="1"/>
  <c r="X573" i="6"/>
  <c r="Y573" i="6" l="1"/>
  <c r="X574" i="6" l="1"/>
  <c r="X575" i="6" l="1"/>
  <c r="Y574" i="6"/>
  <c r="Y575" i="6" l="1"/>
  <c r="X576" i="6"/>
  <c r="X577" i="6" l="1"/>
  <c r="Y576" i="6"/>
  <c r="Y577" i="6" l="1"/>
  <c r="X578" i="6"/>
  <c r="X579" i="6" l="1"/>
  <c r="Y578" i="6"/>
  <c r="X580" i="6" l="1"/>
  <c r="Y579" i="6"/>
  <c r="X581" i="6" l="1"/>
  <c r="Y580" i="6"/>
  <c r="Y581" i="6" l="1"/>
  <c r="X582" i="6"/>
  <c r="X583" i="6" l="1"/>
  <c r="Y582" i="6"/>
  <c r="Y583" i="6" l="1"/>
  <c r="X584" i="6"/>
  <c r="Y584" i="6" l="1"/>
  <c r="X585" i="6"/>
  <c r="Y585" i="6" l="1"/>
  <c r="X586" i="6"/>
  <c r="X587" i="6" l="1"/>
  <c r="Y586" i="6"/>
  <c r="Y587" i="6" l="1"/>
  <c r="X588" i="6"/>
  <c r="X589" i="6" l="1"/>
  <c r="Y588" i="6"/>
  <c r="Y589" i="6" l="1"/>
  <c r="X590" i="6"/>
  <c r="X591" i="6" l="1"/>
  <c r="Y590" i="6"/>
  <c r="Y591" i="6" l="1"/>
  <c r="X592" i="6"/>
  <c r="X593" i="6" l="1"/>
  <c r="Y592" i="6"/>
  <c r="Y593" i="6" l="1"/>
  <c r="X594" i="6"/>
  <c r="X595" i="6" l="1"/>
  <c r="Y594" i="6"/>
  <c r="Y595" i="6" l="1"/>
  <c r="X596" i="6"/>
  <c r="X597" i="6" l="1"/>
  <c r="Y596" i="6"/>
  <c r="Y597" i="6" l="1"/>
  <c r="X598" i="6"/>
  <c r="X599" i="6" l="1"/>
  <c r="Y598" i="6"/>
  <c r="Y599" i="6" l="1"/>
  <c r="X600" i="6" l="1"/>
  <c r="X601" i="6" l="1"/>
  <c r="Y600" i="6"/>
  <c r="Y601" i="6" l="1"/>
  <c r="X602" i="6"/>
  <c r="X603" i="6" l="1"/>
  <c r="Y602" i="6"/>
  <c r="Y603" i="6" l="1"/>
  <c r="X604" i="6"/>
  <c r="X605" i="6" l="1"/>
  <c r="Y604" i="6"/>
  <c r="Y605" i="6" l="1"/>
  <c r="X606" i="6"/>
  <c r="X607" i="6" l="1"/>
  <c r="Y606" i="6"/>
  <c r="X608" i="6" l="1"/>
  <c r="Y607" i="6"/>
  <c r="Y608" i="6" l="1"/>
  <c r="X609" i="6"/>
  <c r="Y609" i="6" l="1"/>
  <c r="X610" i="6"/>
  <c r="Y610" i="6" l="1"/>
  <c r="X611" i="6"/>
  <c r="Y611" i="6" l="1"/>
  <c r="X612" i="6"/>
  <c r="Y612" i="6" l="1"/>
  <c r="X613" i="6"/>
  <c r="Y613" i="6" l="1"/>
  <c r="X614" i="6"/>
  <c r="Y614" i="6" l="1"/>
  <c r="X615" i="6"/>
  <c r="X616" i="6" l="1"/>
  <c r="Y615" i="6"/>
  <c r="Y616" i="6" l="1"/>
  <c r="X617" i="6"/>
  <c r="X618" i="6" l="1"/>
  <c r="Y617" i="6"/>
  <c r="Y618" i="6" l="1"/>
  <c r="X619" i="6"/>
  <c r="X620" i="6" l="1"/>
  <c r="Y619" i="6"/>
  <c r="X621" i="6" l="1"/>
  <c r="Y620" i="6"/>
  <c r="X622" i="6" l="1"/>
  <c r="Y621" i="6"/>
  <c r="Y622" i="6" l="1"/>
  <c r="X623" i="6"/>
  <c r="X624" i="6" l="1"/>
  <c r="Y623" i="6"/>
  <c r="X625" i="6" l="1"/>
  <c r="Y624" i="6"/>
  <c r="X626" i="6" l="1"/>
  <c r="Y625" i="6"/>
  <c r="Y626" i="6" l="1"/>
  <c r="X627" i="6"/>
  <c r="X628" i="6" l="1"/>
  <c r="Y627" i="6"/>
  <c r="X629" i="6" l="1"/>
  <c r="Y628" i="6"/>
  <c r="X630" i="6" l="1"/>
  <c r="Y629" i="6"/>
  <c r="Y630" i="6" l="1"/>
  <c r="X631" i="6"/>
  <c r="X632" i="6" l="1"/>
  <c r="Y631" i="6"/>
  <c r="X633" i="6" l="1"/>
  <c r="X634" i="6" s="1"/>
  <c r="Y632" i="6"/>
  <c r="X635" i="6" l="1"/>
  <c r="Y634" i="6"/>
  <c r="Y633" i="6"/>
  <c r="X636" i="6" l="1"/>
  <c r="Y635" i="6"/>
  <c r="X637" i="6" l="1"/>
  <c r="Y636" i="6"/>
  <c r="Y637" i="6" l="1"/>
  <c r="X638" i="6"/>
  <c r="X639" i="6" l="1"/>
  <c r="Y638" i="6"/>
  <c r="Y639" i="6" l="1"/>
  <c r="X640" i="6"/>
  <c r="X641" i="6" l="1"/>
  <c r="Y640" i="6"/>
  <c r="X642" i="6" l="1"/>
  <c r="Y641" i="6"/>
  <c r="Y642" i="6" l="1"/>
  <c r="X643" i="6"/>
  <c r="Y643" i="6" l="1"/>
  <c r="X644" i="6"/>
  <c r="X645" i="6" l="1"/>
  <c r="Y644" i="6"/>
  <c r="X646" i="6" l="1"/>
  <c r="Y645" i="6"/>
  <c r="X647" i="6" l="1"/>
  <c r="Y646" i="6"/>
  <c r="Y647" i="6" l="1"/>
  <c r="X648" i="6"/>
  <c r="X649" i="6" l="1"/>
  <c r="Y648" i="6"/>
  <c r="Y649" i="6" l="1"/>
  <c r="X650" i="6"/>
  <c r="Y650" i="6" l="1"/>
  <c r="X651" i="6"/>
  <c r="Y651" i="6" l="1"/>
  <c r="G8" i="28" l="1"/>
  <c r="I8" i="28" s="1"/>
  <c r="I10" i="28" s="1"/>
  <c r="F15" i="10" s="1"/>
</calcChain>
</file>

<file path=xl/sharedStrings.xml><?xml version="1.0" encoding="utf-8"?>
<sst xmlns="http://schemas.openxmlformats.org/spreadsheetml/2006/main" count="4159" uniqueCount="1540">
  <si>
    <t>노무비</t>
    <phoneticPr fontId="1" type="noConversion"/>
  </si>
  <si>
    <t>간접노무비</t>
    <phoneticPr fontId="1" type="noConversion"/>
  </si>
  <si>
    <t>직접재료비</t>
    <phoneticPr fontId="1" type="noConversion"/>
  </si>
  <si>
    <t>연금보험료</t>
    <phoneticPr fontId="1" type="noConversion"/>
  </si>
  <si>
    <t>순설치원가</t>
    <phoneticPr fontId="1" type="noConversion"/>
  </si>
  <si>
    <t>부가가치세 (10%)</t>
    <phoneticPr fontId="1" type="noConversion"/>
  </si>
  <si>
    <t>단가</t>
    <phoneticPr fontId="1" type="noConversion"/>
  </si>
  <si>
    <t>주 1)</t>
    <phoneticPr fontId="1" type="noConversion"/>
  </si>
  <si>
    <t>구   분</t>
    <phoneticPr fontId="1" type="noConversion"/>
  </si>
  <si>
    <t>간접노무비율산출표</t>
    <phoneticPr fontId="1" type="noConversion"/>
  </si>
  <si>
    <t>적용율(%)</t>
    <phoneticPr fontId="1" type="noConversion"/>
  </si>
  <si>
    <t>토목공사</t>
    <phoneticPr fontId="1" type="noConversion"/>
  </si>
  <si>
    <t>기타 (전문, 전기, 통신 등)</t>
    <phoneticPr fontId="1" type="noConversion"/>
  </si>
  <si>
    <t>주 2)</t>
    <phoneticPr fontId="1" type="noConversion"/>
  </si>
  <si>
    <t>공사규모별</t>
    <phoneticPr fontId="1" type="noConversion"/>
  </si>
  <si>
    <t>50억 미만</t>
    <phoneticPr fontId="1" type="noConversion"/>
  </si>
  <si>
    <t>50억~ 300억 미만</t>
    <phoneticPr fontId="1" type="noConversion"/>
  </si>
  <si>
    <t>비 고</t>
    <phoneticPr fontId="1" type="noConversion"/>
  </si>
  <si>
    <t>배부 대상액</t>
    <phoneticPr fontId="1" type="noConversion"/>
  </si>
  <si>
    <t>고용보험료</t>
    <phoneticPr fontId="1" type="noConversion"/>
  </si>
  <si>
    <t>건강보험료</t>
    <phoneticPr fontId="1" type="noConversion"/>
  </si>
  <si>
    <t>퇴직공제부금비</t>
    <phoneticPr fontId="1" type="noConversion"/>
  </si>
  <si>
    <t>환경보전비</t>
    <phoneticPr fontId="1" type="noConversion"/>
  </si>
  <si>
    <t>재료비+노무비</t>
    <phoneticPr fontId="1" type="noConversion"/>
  </si>
  <si>
    <t>경비산출표</t>
    <phoneticPr fontId="1" type="noConversion"/>
  </si>
  <si>
    <t>경비배부율산출표</t>
    <phoneticPr fontId="1" type="noConversion"/>
  </si>
  <si>
    <t>공사종류별
(건축)</t>
    <phoneticPr fontId="1" type="noConversion"/>
  </si>
  <si>
    <t>평균배부율</t>
    <phoneticPr fontId="1" type="noConversion"/>
  </si>
  <si>
    <t>비   고</t>
    <phoneticPr fontId="1" type="noConversion"/>
  </si>
  <si>
    <t>수도광열비</t>
    <phoneticPr fontId="1" type="noConversion"/>
  </si>
  <si>
    <t>복리후생비</t>
    <phoneticPr fontId="1" type="noConversion"/>
  </si>
  <si>
    <t>소모품비</t>
    <phoneticPr fontId="1" type="noConversion"/>
  </si>
  <si>
    <t>여비·교통·통신비</t>
    <phoneticPr fontId="1" type="noConversion"/>
  </si>
  <si>
    <t>세금과공과</t>
    <phoneticPr fontId="1" type="noConversion"/>
  </si>
  <si>
    <t>도서인쇄비</t>
    <phoneticPr fontId="1" type="noConversion"/>
  </si>
  <si>
    <t>지급수수료</t>
    <phoneticPr fontId="1" type="noConversion"/>
  </si>
  <si>
    <t>(%)</t>
    <phoneticPr fontId="1" type="noConversion"/>
  </si>
  <si>
    <t>불 인</t>
    <phoneticPr fontId="1" type="noConversion"/>
  </si>
  <si>
    <t>"</t>
    <phoneticPr fontId="1" type="noConversion"/>
  </si>
  <si>
    <t>조사적용비율(%)</t>
    <phoneticPr fontId="1" type="noConversion"/>
  </si>
  <si>
    <t>-</t>
    <phoneticPr fontId="1" type="noConversion"/>
  </si>
  <si>
    <t>완성공사원가통계(경비율)</t>
    <phoneticPr fontId="1" type="noConversion"/>
  </si>
  <si>
    <t>공사원가</t>
    <phoneticPr fontId="1" type="noConversion"/>
  </si>
  <si>
    <t>외주비</t>
    <phoneticPr fontId="1" type="noConversion"/>
  </si>
  <si>
    <t>(재료비 + 노무비)</t>
    <phoneticPr fontId="1" type="noConversion"/>
  </si>
  <si>
    <t xml:space="preserve"> - 경 비 - </t>
    <phoneticPr fontId="1" type="noConversion"/>
  </si>
  <si>
    <t>전력비</t>
    <phoneticPr fontId="1" type="noConversion"/>
  </si>
  <si>
    <t>운반비</t>
    <phoneticPr fontId="1" type="noConversion"/>
  </si>
  <si>
    <t>(단위 : 천원,%)</t>
    <phoneticPr fontId="1" type="noConversion"/>
  </si>
  <si>
    <t>1)</t>
    <phoneticPr fontId="1" type="noConversion"/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</si>
  <si>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</si>
  <si>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</si>
  <si>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</si>
  <si>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</si>
  <si>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</si>
  <si>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</si>
  <si>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</si>
  <si>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</si>
  <si>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</si>
  <si>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</si>
  <si>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</si>
  <si>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</si>
  <si>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</si>
  <si>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</si>
  <si>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</si>
  <si>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</si>
  <si>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</si>
  <si>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</si>
  <si>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</si>
  <si>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</si>
  <si>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</si>
  <si>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</si>
  <si>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</si>
  <si>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</si>
  <si>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</si>
  <si>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</si>
  <si>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</si>
  <si>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</si>
  <si>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구성비</t>
    <phoneticPr fontId="1" type="noConversion"/>
  </si>
  <si>
    <t>5억원 미만</t>
    <phoneticPr fontId="1" type="noConversion"/>
  </si>
  <si>
    <t>금  액</t>
    <phoneticPr fontId="1" type="noConversion"/>
  </si>
  <si>
    <t>단위 : 원</t>
  </si>
  <si>
    <t>구분</t>
    <phoneticPr fontId="1" type="noConversion"/>
  </si>
  <si>
    <t>산재보험료산출표</t>
    <phoneticPr fontId="1" type="noConversion"/>
  </si>
  <si>
    <t>적용대상액
(노무비)</t>
    <phoneticPr fontId="1" type="noConversion"/>
  </si>
  <si>
    <t>비율
(%)</t>
    <phoneticPr fontId="1" type="noConversion"/>
  </si>
  <si>
    <t>금   액</t>
    <phoneticPr fontId="1" type="noConversion"/>
  </si>
  <si>
    <t>비   목</t>
    <phoneticPr fontId="1" type="noConversion"/>
  </si>
  <si>
    <t>계</t>
    <phoneticPr fontId="1" type="noConversion"/>
  </si>
  <si>
    <t>단위 : 원</t>
    <phoneticPr fontId="1" type="noConversion"/>
  </si>
  <si>
    <t>산업재해보상보험요율</t>
    <phoneticPr fontId="1" type="noConversion"/>
  </si>
  <si>
    <t>사업종류</t>
    <phoneticPr fontId="1" type="noConversion"/>
  </si>
  <si>
    <t>보험요율</t>
    <phoneticPr fontId="1" type="noConversion"/>
  </si>
  <si>
    <t>금속 및 비금속 광업</t>
    <phoneticPr fontId="1" type="noConversion"/>
  </si>
  <si>
    <t>채 석 업</t>
    <phoneticPr fontId="1" type="noConversion"/>
  </si>
  <si>
    <t>기타 광업</t>
    <phoneticPr fontId="1" type="noConversion"/>
  </si>
  <si>
    <t>2.</t>
    <phoneticPr fontId="1" type="noConversion"/>
  </si>
  <si>
    <t>제조업</t>
    <phoneticPr fontId="1" type="noConversion"/>
  </si>
  <si>
    <t>식료품제조업</t>
    <phoneticPr fontId="1" type="noConversion"/>
  </si>
  <si>
    <t>담배제조업</t>
    <phoneticPr fontId="1" type="noConversion"/>
  </si>
  <si>
    <t>섬유 또는 섬유제품제조업(갑)</t>
    <phoneticPr fontId="1" type="noConversion"/>
  </si>
  <si>
    <t>섬유 또는 섬유제품제조업(을)</t>
    <phoneticPr fontId="1" type="noConversion"/>
  </si>
  <si>
    <t>목재 및 나무제품 제조업</t>
    <phoneticPr fontId="1" type="noConversion"/>
  </si>
  <si>
    <t>펄프.지류제조업 및 제본 또는</t>
    <phoneticPr fontId="1" type="noConversion"/>
  </si>
  <si>
    <t>및 인쇄업</t>
    <phoneticPr fontId="1" type="noConversion"/>
  </si>
  <si>
    <t>화확제품 제조업</t>
    <phoneticPr fontId="1" type="noConversion"/>
  </si>
  <si>
    <t>의약품 및 화장품 향료 제조업</t>
    <phoneticPr fontId="1" type="noConversion"/>
  </si>
  <si>
    <t>유리 제조업</t>
    <phoneticPr fontId="1" type="noConversion"/>
  </si>
  <si>
    <t>도자기 및 기타 요업제품 제조업</t>
    <phoneticPr fontId="1" type="noConversion"/>
  </si>
  <si>
    <t>시멘트 제조업</t>
    <phoneticPr fontId="1" type="noConversion"/>
  </si>
  <si>
    <t>금속제련업</t>
    <phoneticPr fontId="1" type="noConversion"/>
  </si>
  <si>
    <t>금속재료품 제조업</t>
    <phoneticPr fontId="1" type="noConversion"/>
  </si>
  <si>
    <t>도 금 업</t>
    <phoneticPr fontId="1" type="noConversion"/>
  </si>
  <si>
    <t>기계기구 제조업</t>
    <phoneticPr fontId="1" type="noConversion"/>
  </si>
  <si>
    <t>전기기계기구 제조업</t>
    <phoneticPr fontId="1" type="noConversion"/>
  </si>
  <si>
    <t>전자제품 제조업</t>
    <phoneticPr fontId="1" type="noConversion"/>
  </si>
  <si>
    <t>선박건조 및 수리업</t>
    <phoneticPr fontId="1" type="noConversion"/>
  </si>
  <si>
    <t>수송용기계기구 제조업</t>
    <phoneticPr fontId="1" type="noConversion"/>
  </si>
  <si>
    <t>자동차 및 모터사이클 수리업</t>
    <phoneticPr fontId="1" type="noConversion"/>
  </si>
  <si>
    <t>수제품 제조업</t>
    <phoneticPr fontId="1" type="noConversion"/>
  </si>
  <si>
    <t>기타제조업</t>
    <phoneticPr fontId="1" type="noConversion"/>
  </si>
  <si>
    <t>3.</t>
    <phoneticPr fontId="1" type="noConversion"/>
  </si>
  <si>
    <t>4.</t>
    <phoneticPr fontId="1" type="noConversion"/>
  </si>
  <si>
    <t>건 설 업</t>
    <phoneticPr fontId="1" type="noConversion"/>
  </si>
  <si>
    <t>5.</t>
    <phoneticPr fontId="1" type="noConversion"/>
  </si>
  <si>
    <t>운수창고 및 통신업</t>
    <phoneticPr fontId="1" type="noConversion"/>
  </si>
  <si>
    <t>철도궤도 및 삭도운수업</t>
    <phoneticPr fontId="1" type="noConversion"/>
  </si>
  <si>
    <t>여객자동차운수업</t>
    <phoneticPr fontId="1" type="noConversion"/>
  </si>
  <si>
    <t>소형화물운수업 및 택배업, 퀵서비스</t>
    <phoneticPr fontId="1" type="noConversion"/>
  </si>
  <si>
    <t>화물자동차운수업</t>
    <phoneticPr fontId="1" type="noConversion"/>
  </si>
  <si>
    <t>수상운수업, 항만하역 및 화물</t>
    <phoneticPr fontId="1" type="noConversion"/>
  </si>
  <si>
    <t>취급사업</t>
    <phoneticPr fontId="1" type="noConversion"/>
  </si>
  <si>
    <t>항공운수업</t>
    <phoneticPr fontId="1" type="noConversion"/>
  </si>
  <si>
    <t>운수관련 서비스업</t>
    <phoneticPr fontId="1" type="noConversion"/>
  </si>
  <si>
    <t>창 고 업</t>
    <phoneticPr fontId="1" type="noConversion"/>
  </si>
  <si>
    <t>통 신 업</t>
    <phoneticPr fontId="1" type="noConversion"/>
  </si>
  <si>
    <t>6.</t>
    <phoneticPr fontId="1" type="noConversion"/>
  </si>
  <si>
    <t>임 업</t>
    <phoneticPr fontId="1" type="noConversion"/>
  </si>
  <si>
    <t>7.</t>
    <phoneticPr fontId="1" type="noConversion"/>
  </si>
  <si>
    <t>어 업</t>
    <phoneticPr fontId="1" type="noConversion"/>
  </si>
  <si>
    <t>어업</t>
    <phoneticPr fontId="1" type="noConversion"/>
  </si>
  <si>
    <t>양식어업 및 어업관련 서비스업</t>
    <phoneticPr fontId="1" type="noConversion"/>
  </si>
  <si>
    <t>8.</t>
    <phoneticPr fontId="1" type="noConversion"/>
  </si>
  <si>
    <t>농 업</t>
    <phoneticPr fontId="1" type="noConversion"/>
  </si>
  <si>
    <t>9.</t>
    <phoneticPr fontId="1" type="noConversion"/>
  </si>
  <si>
    <t>기타의 사업</t>
    <phoneticPr fontId="1" type="noConversion"/>
  </si>
  <si>
    <t>건물등의 종합관리사업</t>
    <phoneticPr fontId="1" type="noConversion"/>
  </si>
  <si>
    <t>위생 및 유사서비스업</t>
    <phoneticPr fontId="1" type="noConversion"/>
  </si>
  <si>
    <t>기타의 각종사업</t>
    <phoneticPr fontId="1" type="noConversion"/>
  </si>
  <si>
    <t>전문기술서비스업</t>
    <phoneticPr fontId="1" type="noConversion"/>
  </si>
  <si>
    <t>보건 및 사회복지사업</t>
    <phoneticPr fontId="1" type="noConversion"/>
  </si>
  <si>
    <t>교육서비스업</t>
    <phoneticPr fontId="1" type="noConversion"/>
  </si>
  <si>
    <t>도소매 및 소비자용품수리업</t>
    <phoneticPr fontId="1" type="noConversion"/>
  </si>
  <si>
    <t>부동산업 및 임대업</t>
    <phoneticPr fontId="1" type="noConversion"/>
  </si>
  <si>
    <t>오락·문화 및 운동관련 사업</t>
    <phoneticPr fontId="1" type="noConversion"/>
  </si>
  <si>
    <t>국가 및 지방자치단체의 행정</t>
    <phoneticPr fontId="1" type="noConversion"/>
  </si>
  <si>
    <t>10.</t>
    <phoneticPr fontId="1" type="noConversion"/>
  </si>
  <si>
    <t>금융 보험업</t>
    <phoneticPr fontId="1" type="noConversion"/>
  </si>
  <si>
    <t>* 해외파견자 : 17/1000</t>
    <phoneticPr fontId="1" type="noConversion"/>
  </si>
  <si>
    <t>고용보험료산출표</t>
    <phoneticPr fontId="1" type="noConversion"/>
  </si>
  <si>
    <t>비  고</t>
    <phoneticPr fontId="1" type="noConversion"/>
  </si>
  <si>
    <t>건강보험료산출표</t>
    <phoneticPr fontId="1" type="noConversion"/>
  </si>
  <si>
    <t>연금보험료산출표</t>
    <phoneticPr fontId="1" type="noConversion"/>
  </si>
  <si>
    <t>노인장기요양보험료산출표</t>
    <phoneticPr fontId="1" type="noConversion"/>
  </si>
  <si>
    <t>노인장기요양보험료</t>
    <phoneticPr fontId="1" type="noConversion"/>
  </si>
  <si>
    <t>적용대상액
(직접노무비)</t>
    <phoneticPr fontId="1" type="noConversion"/>
  </si>
  <si>
    <t>적용대상액
(건강보험료)</t>
    <phoneticPr fontId="1" type="noConversion"/>
  </si>
  <si>
    <t>퇴직공제부금비산출표</t>
    <phoneticPr fontId="1" type="noConversion"/>
  </si>
  <si>
    <t>산업안전보건관리비산출표</t>
    <phoneticPr fontId="1" type="noConversion"/>
  </si>
  <si>
    <t>적용대상액</t>
    <phoneticPr fontId="1" type="noConversion"/>
  </si>
  <si>
    <t>재료비</t>
    <phoneticPr fontId="1" type="noConversion"/>
  </si>
  <si>
    <t>직접노무비</t>
    <phoneticPr fontId="1" type="noConversion"/>
  </si>
  <si>
    <t>비율(%)</t>
    <phoneticPr fontId="1" type="noConversion"/>
  </si>
  <si>
    <t>금    액</t>
    <phoneticPr fontId="1" type="noConversion"/>
  </si>
  <si>
    <t>산업안전보건관리비</t>
    <phoneticPr fontId="1" type="noConversion"/>
  </si>
  <si>
    <t>주 3)</t>
    <phoneticPr fontId="1" type="noConversion"/>
  </si>
  <si>
    <t>산업안전보건관리비요율표</t>
    <phoneticPr fontId="1" type="noConversion"/>
  </si>
  <si>
    <t>공사분류</t>
    <phoneticPr fontId="1" type="noConversion"/>
  </si>
  <si>
    <t>재료비와 직접
노무비의 합계액</t>
    <phoneticPr fontId="1" type="noConversion"/>
  </si>
  <si>
    <t>5억원미만
(%)</t>
    <phoneticPr fontId="1" type="noConversion"/>
  </si>
  <si>
    <t>5억원이상50억원미만</t>
    <phoneticPr fontId="1" type="noConversion"/>
  </si>
  <si>
    <t>기초액</t>
    <phoneticPr fontId="1" type="noConversion"/>
  </si>
  <si>
    <t>50억원이상
(%)</t>
    <phoneticPr fontId="1" type="noConversion"/>
  </si>
  <si>
    <t>일반건설공사(갑)</t>
    <phoneticPr fontId="1" type="noConversion"/>
  </si>
  <si>
    <t>5,349천원</t>
    <phoneticPr fontId="1" type="noConversion"/>
  </si>
  <si>
    <t>일반건설공사(을)</t>
    <phoneticPr fontId="1" type="noConversion"/>
  </si>
  <si>
    <t>중건설공사</t>
    <phoneticPr fontId="1" type="noConversion"/>
  </si>
  <si>
    <t>철도,궤도신설공사</t>
    <phoneticPr fontId="1" type="noConversion"/>
  </si>
  <si>
    <t>특수및기타건설공사</t>
    <phoneticPr fontId="1" type="noConversion"/>
  </si>
  <si>
    <t>본조사적용비율(%)</t>
    <phoneticPr fontId="1" type="noConversion"/>
  </si>
  <si>
    <t>5,499천원</t>
    <phoneticPr fontId="1" type="noConversion"/>
  </si>
  <si>
    <t>4,411천원</t>
    <phoneticPr fontId="1" type="noConversion"/>
  </si>
  <si>
    <t>3,250천원</t>
    <phoneticPr fontId="1" type="noConversion"/>
  </si>
  <si>
    <t>환경보전비산출표</t>
    <phoneticPr fontId="1" type="noConversion"/>
  </si>
  <si>
    <t>기계경비</t>
    <phoneticPr fontId="1" type="noConversion"/>
  </si>
  <si>
    <t>주 4)</t>
    <phoneticPr fontId="1" type="noConversion"/>
  </si>
  <si>
    <t>일반관리비산출표</t>
    <phoneticPr fontId="1" type="noConversion"/>
  </si>
  <si>
    <t>경비</t>
    <phoneticPr fontId="1" type="noConversion"/>
  </si>
  <si>
    <t>일반관리비</t>
    <phoneticPr fontId="1" type="noConversion"/>
  </si>
  <si>
    <t>일반관리비율표</t>
    <phoneticPr fontId="1" type="noConversion"/>
  </si>
  <si>
    <t>전문,전기,정보통신,소방공사및기타공사</t>
    <phoneticPr fontId="1" type="noConversion"/>
  </si>
  <si>
    <t>비   율(%)</t>
    <phoneticPr fontId="1" type="noConversion"/>
  </si>
  <si>
    <t>일  반  건  설  공  사</t>
    <phoneticPr fontId="1" type="noConversion"/>
  </si>
  <si>
    <t>50억원미만</t>
    <phoneticPr fontId="1" type="noConversion"/>
  </si>
  <si>
    <t>50억원 -300억미만</t>
    <phoneticPr fontId="1" type="noConversion"/>
  </si>
  <si>
    <t>300억원이상</t>
    <phoneticPr fontId="1" type="noConversion"/>
  </si>
  <si>
    <t>5억원미만</t>
    <phoneticPr fontId="1" type="noConversion"/>
  </si>
  <si>
    <t>5억원 -30억미만</t>
    <phoneticPr fontId="1" type="noConversion"/>
  </si>
  <si>
    <t>30억원이상</t>
    <phoneticPr fontId="1" type="noConversion"/>
  </si>
  <si>
    <t>이윤</t>
    <phoneticPr fontId="1" type="noConversion"/>
  </si>
  <si>
    <t>이윤산출표</t>
    <phoneticPr fontId="1" type="noConversion"/>
  </si>
  <si>
    <t>이윤비율표</t>
    <phoneticPr fontId="1" type="noConversion"/>
  </si>
  <si>
    <t>조사적용
비율(%)</t>
    <phoneticPr fontId="1" type="noConversion"/>
  </si>
  <si>
    <t>적  용  대  상  액</t>
    <phoneticPr fontId="1" type="noConversion"/>
  </si>
  <si>
    <t>주 1) [( 재료비 + 직접노무비 ) × 산업안전보건관리비율 ] + 기초액 = 산업안전보건관리비</t>
    <phoneticPr fontId="1" type="noConversion"/>
  </si>
  <si>
    <t xml:space="preserve">&lt; 표 : 17 &gt; </t>
    <phoneticPr fontId="1" type="noConversion"/>
  </si>
  <si>
    <t xml:space="preserve">&lt; 표 : 16 &gt; </t>
    <phoneticPr fontId="1" type="noConversion"/>
  </si>
  <si>
    <t xml:space="preserve">&lt; 표 : 15 &gt; </t>
    <phoneticPr fontId="1" type="noConversion"/>
  </si>
  <si>
    <t xml:space="preserve">&lt; 표 : 14 &gt; </t>
    <phoneticPr fontId="1" type="noConversion"/>
  </si>
  <si>
    <t xml:space="preserve">&lt; 표 : 13 &gt; </t>
    <phoneticPr fontId="1" type="noConversion"/>
  </si>
  <si>
    <t>공   사   규   모   별</t>
    <phoneticPr fontId="1" type="noConversion"/>
  </si>
  <si>
    <t>공          종          별</t>
    <phoneticPr fontId="1" type="noConversion"/>
  </si>
  <si>
    <t>건    축</t>
    <phoneticPr fontId="1" type="noConversion"/>
  </si>
  <si>
    <t>토    목</t>
    <phoneticPr fontId="1" type="noConversion"/>
  </si>
  <si>
    <t>산 업 설 비</t>
    <phoneticPr fontId="1" type="noConversion"/>
  </si>
  <si>
    <t>조    경</t>
    <phoneticPr fontId="1" type="noConversion"/>
  </si>
  <si>
    <t xml:space="preserve">   2) 평균배부율(%) = (공사종류별 + 공사규모별 + 공사기간별) ÷ 3 적용</t>
    <phoneticPr fontId="1" type="noConversion"/>
  </si>
  <si>
    <t xml:space="preserve">&lt; 표 : 9 &gt; </t>
    <phoneticPr fontId="1" type="noConversion"/>
  </si>
  <si>
    <t>비      목</t>
    <phoneticPr fontId="1" type="noConversion"/>
  </si>
  <si>
    <t>비      고</t>
    <phoneticPr fontId="1" type="noConversion"/>
  </si>
  <si>
    <t xml:space="preserve">   2) 적용율(%) : (공사종류별 + 공사규모별 + 공사기간별 ) ÷3</t>
    <phoneticPr fontId="1" type="noConversion"/>
  </si>
  <si>
    <t xml:space="preserve">&lt; 표 : 8 &gt; </t>
    <phoneticPr fontId="1" type="noConversion"/>
  </si>
  <si>
    <t>구    분</t>
    <phoneticPr fontId="1" type="noConversion"/>
  </si>
  <si>
    <t xml:space="preserve">&lt; 표 : 1 &gt; </t>
    <phoneticPr fontId="1" type="noConversion"/>
  </si>
  <si>
    <t>일위대가표</t>
  </si>
  <si>
    <t>5,400천원</t>
    <phoneticPr fontId="1" type="noConversion"/>
  </si>
  <si>
    <t xml:space="preserve">   2) 건설업 산업안전보건관리비 계상 및 사용기준(노동부고시 제2014-37호, 2014.10.22)</t>
    <phoneticPr fontId="1" type="noConversion"/>
  </si>
  <si>
    <t xml:space="preserve">   2) 비율(%) : 보험료 적용기준(국토교통부 고시 제2013 - 738호) 참조</t>
    <phoneticPr fontId="1" type="noConversion"/>
  </si>
  <si>
    <t xml:space="preserve">   2) 비율(%) : 보험료 적용기준(국토교통부 고시 제2013 - 738호, 2013.11.26) 참조</t>
    <phoneticPr fontId="1" type="noConversion"/>
  </si>
  <si>
    <t xml:space="preserve">   2) 비율(%) : 국토해양부 고시 제2012 - 361호 참조</t>
    <phoneticPr fontId="1" type="noConversion"/>
  </si>
  <si>
    <t>기계경비</t>
  </si>
  <si>
    <t>비           고</t>
    <phoneticPr fontId="1" type="noConversion"/>
  </si>
  <si>
    <t>직종
번호</t>
  </si>
  <si>
    <t>직종명</t>
  </si>
  <si>
    <t>작업반장</t>
  </si>
  <si>
    <t>보통인부</t>
  </si>
  <si>
    <t>특별인부</t>
  </si>
  <si>
    <t>조력공</t>
  </si>
  <si>
    <t>제도사</t>
  </si>
  <si>
    <t>비계공</t>
  </si>
  <si>
    <t>형틀목공</t>
  </si>
  <si>
    <t>철근공</t>
  </si>
  <si>
    <t>철공</t>
  </si>
  <si>
    <t>철판공</t>
  </si>
  <si>
    <t>철골공</t>
  </si>
  <si>
    <t>콘크리트공</t>
  </si>
  <si>
    <t>착암공</t>
  </si>
  <si>
    <t>화약취급공</t>
  </si>
  <si>
    <t>할석공</t>
  </si>
  <si>
    <t>포설공</t>
  </si>
  <si>
    <t>포장공</t>
  </si>
  <si>
    <t>잠수부</t>
  </si>
  <si>
    <t>조적공</t>
  </si>
  <si>
    <t>견출공</t>
  </si>
  <si>
    <t>건축목공</t>
  </si>
  <si>
    <t>유리공</t>
  </si>
  <si>
    <t>방수공</t>
  </si>
  <si>
    <t>미장공</t>
  </si>
  <si>
    <t>타일공</t>
  </si>
  <si>
    <t>도장공</t>
  </si>
  <si>
    <t>내장공</t>
  </si>
  <si>
    <t>도배공</t>
  </si>
  <si>
    <t>*1032</t>
  </si>
  <si>
    <t>연마공</t>
  </si>
  <si>
    <t>석공</t>
  </si>
  <si>
    <t>줄눈공</t>
  </si>
  <si>
    <t>판넬조립공</t>
  </si>
  <si>
    <t>지붕잇기공</t>
  </si>
  <si>
    <t>벌목부</t>
  </si>
  <si>
    <t>조경공</t>
  </si>
  <si>
    <t>배관공</t>
  </si>
  <si>
    <t>배관공(수도)</t>
  </si>
  <si>
    <t>보일러공</t>
  </si>
  <si>
    <t>위생공</t>
  </si>
  <si>
    <t>보온공</t>
  </si>
  <si>
    <t>궤도공</t>
  </si>
  <si>
    <t>건설기계조장</t>
  </si>
  <si>
    <t>*1052</t>
  </si>
  <si>
    <t>준설선선장</t>
  </si>
  <si>
    <t>-</t>
  </si>
  <si>
    <t>*1053</t>
  </si>
  <si>
    <t>준설선기관사</t>
  </si>
  <si>
    <t>*1054</t>
  </si>
  <si>
    <t>준설선운전사</t>
  </si>
  <si>
    <t>*1055</t>
  </si>
  <si>
    <t>플랜트배관공</t>
  </si>
  <si>
    <t>플랜트제관공</t>
  </si>
  <si>
    <t>플랜트용접공</t>
  </si>
  <si>
    <t>*1059</t>
  </si>
  <si>
    <t>플랜트특수용접공</t>
  </si>
  <si>
    <t>플랜트기계설치공</t>
  </si>
  <si>
    <t>*1063</t>
  </si>
  <si>
    <t>*1065</t>
  </si>
  <si>
    <t>제철축로공</t>
  </si>
  <si>
    <t>*1069</t>
  </si>
  <si>
    <t>*1071</t>
  </si>
  <si>
    <t>내선전공</t>
  </si>
  <si>
    <t>특고압케이블전공</t>
  </si>
  <si>
    <t>고압케이블전공</t>
  </si>
  <si>
    <t>저압케이블전공</t>
  </si>
  <si>
    <t>송전전공</t>
  </si>
  <si>
    <t>송전활선전공</t>
  </si>
  <si>
    <t>배전전공</t>
  </si>
  <si>
    <t>배전활선전공</t>
  </si>
  <si>
    <t>플랜트전공</t>
  </si>
  <si>
    <t>계장공</t>
  </si>
  <si>
    <t>철도신호공</t>
  </si>
  <si>
    <t>통신내선공</t>
  </si>
  <si>
    <t>통신설비공</t>
  </si>
  <si>
    <t>통신외선공</t>
  </si>
  <si>
    <t>통신케이블공</t>
  </si>
  <si>
    <t>무선안테나공</t>
  </si>
  <si>
    <t>*1091</t>
  </si>
  <si>
    <t>광케이블설치사</t>
  </si>
  <si>
    <t>H/W시험사</t>
  </si>
  <si>
    <t>S/W시험사</t>
  </si>
  <si>
    <t>도편수</t>
  </si>
  <si>
    <t>*3002</t>
  </si>
  <si>
    <t>드잡이공</t>
  </si>
  <si>
    <t>한식목공</t>
  </si>
  <si>
    <t>한식목공조공</t>
  </si>
  <si>
    <t>한식미장공</t>
  </si>
  <si>
    <t>한식와공</t>
  </si>
  <si>
    <t>한식와공조공</t>
  </si>
  <si>
    <t>*3009</t>
  </si>
  <si>
    <t>목조각공</t>
  </si>
  <si>
    <t>석조각공</t>
  </si>
  <si>
    <t>**3011</t>
  </si>
  <si>
    <t>특수화공</t>
  </si>
  <si>
    <t>화공</t>
  </si>
  <si>
    <t>원자력플랜트전공</t>
  </si>
  <si>
    <t>원자력용접공</t>
  </si>
  <si>
    <t>원자력기계설치공</t>
  </si>
  <si>
    <t>원자력품질관리사</t>
  </si>
  <si>
    <t>변전전공</t>
  </si>
  <si>
    <t>코킹공</t>
  </si>
  <si>
    <t>계</t>
    <phoneticPr fontId="6" type="noConversion"/>
  </si>
  <si>
    <t>구      분</t>
    <phoneticPr fontId="1" type="noConversion"/>
  </si>
  <si>
    <t>직접재료비</t>
  </si>
  <si>
    <t>직접노무비</t>
  </si>
  <si>
    <t>㎡</t>
  </si>
  <si>
    <t>m</t>
  </si>
  <si>
    <t>EA</t>
  </si>
  <si>
    <t>단  가</t>
  </si>
  <si>
    <t>금 액</t>
  </si>
  <si>
    <t>비  고</t>
  </si>
  <si>
    <t>규     격</t>
  </si>
  <si>
    <t>Kg</t>
  </si>
  <si>
    <t>식</t>
  </si>
  <si>
    <t>녹막이페인트</t>
  </si>
  <si>
    <t>ℓ</t>
  </si>
  <si>
    <t>0.5T*34*38*47</t>
  </si>
  <si>
    <t>GAL'V 0.5T*50*19</t>
  </si>
  <si>
    <t>M-BAR</t>
  </si>
  <si>
    <t>인</t>
  </si>
  <si>
    <t>접착제</t>
  </si>
  <si>
    <t>HR</t>
  </si>
  <si>
    <t>#6 Φ3.5mm, 1"</t>
  </si>
  <si>
    <t>신너</t>
  </si>
  <si>
    <t>KSM6060-2</t>
  </si>
  <si>
    <t>석고보드</t>
  </si>
  <si>
    <t>배부율
(%)</t>
    <phoneticPr fontId="1" type="noConversion"/>
  </si>
  <si>
    <t>규    격</t>
    <phoneticPr fontId="1" type="noConversion"/>
  </si>
  <si>
    <t>공구손료</t>
  </si>
  <si>
    <t>용접공</t>
  </si>
  <si>
    <t>품     명</t>
  </si>
  <si>
    <t>U711W4001</t>
  </si>
  <si>
    <t>오공 205</t>
  </si>
  <si>
    <t>Φ9*1,000</t>
  </si>
  <si>
    <t>340</t>
    <phoneticPr fontId="6" type="noConversion"/>
  </si>
  <si>
    <t>9</t>
    <phoneticPr fontId="6" type="noConversion"/>
  </si>
  <si>
    <t>104</t>
    <phoneticPr fontId="6" type="noConversion"/>
  </si>
  <si>
    <t>16</t>
    <phoneticPr fontId="6" type="noConversion"/>
  </si>
  <si>
    <t>285</t>
    <phoneticPr fontId="6" type="noConversion"/>
  </si>
  <si>
    <t>30</t>
    <phoneticPr fontId="6" type="noConversion"/>
  </si>
  <si>
    <t>87</t>
    <phoneticPr fontId="6" type="noConversion"/>
  </si>
  <si>
    <t>71</t>
    <phoneticPr fontId="6" type="noConversion"/>
  </si>
  <si>
    <t>38</t>
    <phoneticPr fontId="6" type="noConversion"/>
  </si>
  <si>
    <t>20</t>
    <phoneticPr fontId="6" type="noConversion"/>
  </si>
  <si>
    <t>8</t>
    <phoneticPr fontId="6" type="noConversion"/>
  </si>
  <si>
    <t>19</t>
    <phoneticPr fontId="6" type="noConversion"/>
  </si>
  <si>
    <t>13</t>
    <phoneticPr fontId="6" type="noConversion"/>
  </si>
  <si>
    <t>23</t>
    <phoneticPr fontId="6" type="noConversion"/>
  </si>
  <si>
    <t>22</t>
    <phoneticPr fontId="6" type="noConversion"/>
  </si>
  <si>
    <t>49</t>
    <phoneticPr fontId="6" type="noConversion"/>
  </si>
  <si>
    <t>31</t>
    <phoneticPr fontId="6" type="noConversion"/>
  </si>
  <si>
    <t>25</t>
    <phoneticPr fontId="6" type="noConversion"/>
  </si>
  <si>
    <t>12</t>
    <phoneticPr fontId="12" type="noConversion"/>
  </si>
  <si>
    <t>15</t>
    <phoneticPr fontId="6" type="noConversion"/>
  </si>
  <si>
    <t>12</t>
    <phoneticPr fontId="6" type="noConversion"/>
  </si>
  <si>
    <t>17</t>
    <phoneticPr fontId="6" type="noConversion"/>
  </si>
  <si>
    <t>9</t>
    <phoneticPr fontId="12" type="noConversion"/>
  </si>
  <si>
    <t>14</t>
    <phoneticPr fontId="6" type="noConversion"/>
  </si>
  <si>
    <t>202</t>
    <phoneticPr fontId="6" type="noConversion"/>
  </si>
  <si>
    <t>21</t>
    <phoneticPr fontId="6" type="noConversion"/>
  </si>
  <si>
    <t>27</t>
    <phoneticPr fontId="6" type="noConversion"/>
  </si>
  <si>
    <t>28</t>
    <phoneticPr fontId="6" type="noConversion"/>
  </si>
  <si>
    <t>18</t>
    <phoneticPr fontId="6" type="noConversion"/>
  </si>
  <si>
    <t>41</t>
    <phoneticPr fontId="6" type="noConversion"/>
  </si>
  <si>
    <t>32</t>
    <phoneticPr fontId="6" type="noConversion"/>
  </si>
  <si>
    <t>10</t>
    <phoneticPr fontId="12" type="noConversion"/>
  </si>
  <si>
    <t>11</t>
    <phoneticPr fontId="6" type="noConversion"/>
  </si>
  <si>
    <t>7</t>
    <phoneticPr fontId="12" type="noConversion"/>
  </si>
  <si>
    <t>33</t>
    <phoneticPr fontId="6" type="noConversion"/>
  </si>
  <si>
    <t>7</t>
    <phoneticPr fontId="6" type="noConversion"/>
  </si>
  <si>
    <t>10</t>
    <phoneticPr fontId="6" type="noConversion"/>
  </si>
  <si>
    <t>26</t>
    <phoneticPr fontId="6" type="noConversion"/>
  </si>
  <si>
    <t>6</t>
    <phoneticPr fontId="6" type="noConversion"/>
  </si>
  <si>
    <t>5억원이상~30억미만</t>
    <phoneticPr fontId="1" type="noConversion"/>
  </si>
  <si>
    <t>시설공사</t>
    <phoneticPr fontId="1" type="noConversion"/>
  </si>
  <si>
    <t>제조, 구매</t>
    <phoneticPr fontId="1" type="noConversion"/>
  </si>
  <si>
    <t>용역</t>
    <phoneticPr fontId="1" type="noConversion"/>
  </si>
  <si>
    <t>수입물품의구입</t>
    <phoneticPr fontId="1" type="noConversion"/>
  </si>
  <si>
    <t xml:space="preserve">&lt; 표 : 7 &gt; </t>
    <phoneticPr fontId="1" type="noConversion"/>
  </si>
  <si>
    <t xml:space="preserve">&lt; 표 : 10 &gt; </t>
    <phoneticPr fontId="1" type="noConversion"/>
  </si>
  <si>
    <t>&lt; 표 : 11 &gt;</t>
    <phoneticPr fontId="1" type="noConversion"/>
  </si>
  <si>
    <t xml:space="preserve">&lt; 표 : 12 &gt; </t>
    <phoneticPr fontId="1" type="noConversion"/>
  </si>
  <si>
    <t xml:space="preserve">&lt; 표 : 18 &gt; </t>
    <phoneticPr fontId="1" type="noConversion"/>
  </si>
  <si>
    <t xml:space="preserve">&lt; 표 : 19 &gt; </t>
    <phoneticPr fontId="1" type="noConversion"/>
  </si>
  <si>
    <t>설계기준비율(%)</t>
    <phoneticPr fontId="1" type="noConversion"/>
  </si>
  <si>
    <t>설계기준
비율(%)</t>
    <phoneticPr fontId="1" type="noConversion"/>
  </si>
  <si>
    <t>30억원~50억미만</t>
    <phoneticPr fontId="1" type="noConversion"/>
  </si>
  <si>
    <t>대</t>
  </si>
  <si>
    <t>각파이프구조틀</t>
  </si>
  <si>
    <t>각파이프</t>
  </si>
  <si>
    <t>섬유판취부(벽체)</t>
  </si>
  <si>
    <t>ST'L PLATE</t>
  </si>
  <si>
    <t>인서트</t>
  </si>
  <si>
    <t>퍼지인서트 3/8</t>
  </si>
  <si>
    <t>개</t>
  </si>
  <si>
    <t>앙카볼트</t>
  </si>
  <si>
    <t>M.D.F</t>
  </si>
  <si>
    <t>THK=9mm, EO</t>
  </si>
  <si>
    <t>마이너찬넬</t>
  </si>
  <si>
    <t>GAL'V 1.2T*19*10</t>
  </si>
  <si>
    <t>메탈 러너</t>
  </si>
  <si>
    <t>67*40*0.8</t>
  </si>
  <si>
    <t>메탈 스터드(Metal Stud)</t>
  </si>
  <si>
    <t>65*45*0.8</t>
  </si>
  <si>
    <t>케링찬넬</t>
  </si>
  <si>
    <t>GAL'V 1.2T*38*12</t>
  </si>
  <si>
    <t>행거 및 핀</t>
  </si>
  <si>
    <t>행거볼트</t>
  </si>
  <si>
    <t>KSM6030 1종, 2류</t>
  </si>
  <si>
    <t>락카프라이머</t>
  </si>
  <si>
    <t>LAA049</t>
  </si>
  <si>
    <t>위시프라이머</t>
  </si>
  <si>
    <t>ZQL011</t>
  </si>
  <si>
    <t>KSM6060-1</t>
  </si>
  <si>
    <t>KSM6060-3</t>
  </si>
  <si>
    <t>칼라락카</t>
  </si>
  <si>
    <t>CL440-1000</t>
  </si>
  <si>
    <t>오일샤페사</t>
  </si>
  <si>
    <t>퍼티</t>
  </si>
  <si>
    <t>핸디택스(인테리어전용)</t>
  </si>
  <si>
    <t>MC-319</t>
  </si>
  <si>
    <t>뽀리퍼티</t>
  </si>
  <si>
    <t>휠러</t>
  </si>
  <si>
    <t>외부용</t>
  </si>
  <si>
    <t>합판</t>
  </si>
  <si>
    <t>THK=8.5mm*4'*8'(준내수)</t>
  </si>
  <si>
    <t>THK=9.5mm*3'*6'</t>
  </si>
  <si>
    <t>LOUVER 몰딩</t>
  </si>
  <si>
    <t>100*100</t>
  </si>
  <si>
    <t>용접봉</t>
  </si>
  <si>
    <t>3.2mm, CR-13</t>
  </si>
  <si>
    <t>Hilti Pin</t>
  </si>
  <si>
    <t>연마지</t>
  </si>
  <si>
    <t>매</t>
  </si>
  <si>
    <t>#120</t>
  </si>
  <si>
    <t>아세틸렌</t>
  </si>
  <si>
    <t>청면TAPE</t>
  </si>
  <si>
    <t xml:space="preserve">폭5cm*10m/roll </t>
  </si>
  <si>
    <t>산소</t>
  </si>
  <si>
    <t>용접기</t>
  </si>
  <si>
    <t>교류 500AMP</t>
  </si>
  <si>
    <t>셸락니스</t>
  </si>
  <si>
    <t>페인트</t>
  </si>
  <si>
    <t>걸레받이용 아크릴수지</t>
  </si>
  <si>
    <t>합판용</t>
  </si>
  <si>
    <t>각파이프구조틀보강철물</t>
  </si>
  <si>
    <t>미네랄스피릿</t>
  </si>
  <si>
    <t>석면테이프</t>
  </si>
  <si>
    <t>절곡가공</t>
  </si>
  <si>
    <t>V-컷팅</t>
  </si>
  <si>
    <t>M</t>
  </si>
  <si>
    <t>찬넬클립</t>
  </si>
  <si>
    <t>1.2T*34*34</t>
  </si>
  <si>
    <t>캐링조인트</t>
  </si>
  <si>
    <t>0.5T*13*40*90</t>
  </si>
  <si>
    <t>하이덴(비닐)</t>
  </si>
  <si>
    <t>0.01T, W:150㎝, ℓ:20m</t>
  </si>
  <si>
    <t>M-BAR 클립</t>
  </si>
  <si>
    <t>M-BAR.조인트</t>
  </si>
  <si>
    <t>0.5T*100*43</t>
  </si>
  <si>
    <t>ton</t>
  </si>
  <si>
    <t>각파이프구조틀보강</t>
  </si>
  <si>
    <t xml:space="preserve">&lt; 표 : 20 &gt; </t>
    <phoneticPr fontId="1" type="noConversion"/>
  </si>
  <si>
    <t xml:space="preserve">&lt; 표 : 21 &gt; </t>
    <phoneticPr fontId="1" type="noConversion"/>
  </si>
  <si>
    <t xml:space="preserve">&lt; 표 : 22 &gt; </t>
    <phoneticPr fontId="1" type="noConversion"/>
  </si>
  <si>
    <t xml:space="preserve">&lt; 표 : 23 &gt; </t>
    <phoneticPr fontId="1" type="noConversion"/>
  </si>
  <si>
    <t xml:space="preserve">&lt; 표 : 24 &gt; </t>
    <phoneticPr fontId="1" type="noConversion"/>
  </si>
  <si>
    <t>조달청기준비율(%)</t>
    <phoneticPr fontId="1" type="noConversion"/>
  </si>
  <si>
    <t>공사규모별
(50억원~300억미만)</t>
    <phoneticPr fontId="1" type="noConversion"/>
  </si>
  <si>
    <t>안전행정부
예규비율(%)</t>
    <phoneticPr fontId="6" type="noConversion"/>
  </si>
  <si>
    <t xml:space="preserve">   2) 비율(%) : 노인장기요양보험법 시행령 제 4조 참조</t>
    <phoneticPr fontId="1" type="noConversion"/>
  </si>
  <si>
    <t xml:space="preserve">   4) 비율(%) : 건설기술진흥법 시행규칙 제61조 3항 별표8 참조</t>
    <phoneticPr fontId="1" type="noConversion"/>
  </si>
  <si>
    <t>인력품의 3%</t>
  </si>
  <si>
    <t>인력품의 2%</t>
  </si>
  <si>
    <t>인력품의2%</t>
  </si>
  <si>
    <t>2015. 9.1
발표노임
(2015년 하반기)</t>
  </si>
  <si>
    <t>GAL-V, THK=1.6mm</t>
  </si>
  <si>
    <t>M16*150</t>
  </si>
  <si>
    <t>수성페인트</t>
  </si>
  <si>
    <t>KSM6010 2종1급</t>
  </si>
  <si>
    <t>THK=12mm*4'*8'(준내수)</t>
  </si>
  <si>
    <t>철강설</t>
  </si>
  <si>
    <t>철강설, 고철, 작업설부산물</t>
  </si>
  <si>
    <t>30*30*1.4T</t>
  </si>
  <si>
    <t>폐자재 수집, 운반비</t>
  </si>
  <si>
    <t>30Km 이하</t>
  </si>
  <si>
    <t>폐자재 처리비</t>
  </si>
  <si>
    <t>가격정보
(조달청)</t>
  </si>
  <si>
    <t>잡철물제작설치</t>
  </si>
  <si>
    <t>* 물가정보 갈바스틸(4'*8') 참고</t>
  </si>
  <si>
    <t>- 앵커볼트 : ((3개*4개))/(3.6M*2.4M)</t>
  </si>
  <si>
    <t>- 각파이프 : ((3개*4개))*0.15/(3.6M*2.4M)</t>
  </si>
  <si>
    <t xml:space="preserve">* 청면 TAPE:(10*12)+(10*6)/(10*10)=1.8 (골판지 900*1800기준) </t>
  </si>
  <si>
    <t>경량철골천정틀</t>
  </si>
  <si>
    <t>식</t>
    <phoneticPr fontId="6" type="noConversion"/>
  </si>
  <si>
    <t>주) 예정가격 작성요령(행정자치부예규 제40호, 2016.1.19) 참조</t>
    <phoneticPr fontId="12" type="noConversion"/>
  </si>
  <si>
    <t>주) 고용노동부고시 제2015-101호(2016년 1월 1일부터 시행)</t>
  </si>
  <si>
    <t>1. 토목공사로서 공사규모가 15억 원(재료비 7억 원, 노무비 5억 원),</t>
  </si>
  <si>
    <t xml:space="preserve">   공사 기간이 15개월인 공사인 경우</t>
  </si>
  <si>
    <t xml:space="preserve"> -  경비 중 전력비, 운반비, 기계경비, 보험료, 안전관리비 등은 품셈에 의하거나 법정요율을</t>
  </si>
  <si>
    <t xml:space="preserve">    적용하고, 다만 소요량산출이 곤란한 비목은 다음과 같이 계산한다.</t>
  </si>
  <si>
    <t xml:space="preserve">  ▶(수도광열비 계산)</t>
  </si>
  <si>
    <t xml:space="preserve">    (공종) 토목공사 : 0.690%</t>
  </si>
  <si>
    <t xml:space="preserve">    (규모) 15억원 : 0.148%</t>
  </si>
  <si>
    <t xml:space="preserve">    (기간) 15개월 : 0.566%</t>
  </si>
  <si>
    <t xml:space="preserve">    {(0.690 ＋ 0.148 ＋ 0.566) ÷ 3} = 0.468%</t>
  </si>
  <si>
    <t xml:space="preserve">    (재료비 7억원 ＋ 노무비 5억원) × 0.00468 = 5,616(천원)</t>
  </si>
  <si>
    <t>2. 건축공사로서 공사규모가 4억원(재료비 2억원. 노무비 1억원)</t>
  </si>
  <si>
    <t xml:space="preserve">   공사기간이 5개월인 공사의 경우 </t>
  </si>
  <si>
    <t xml:space="preserve">  ▶(지급수수료의 계산)</t>
  </si>
  <si>
    <t xml:space="preserve">    (공종) 건축공사 : 6.849%</t>
  </si>
  <si>
    <t xml:space="preserve">    (규모) 4억원 : 1.867%</t>
  </si>
  <si>
    <t xml:space="preserve">    (기간) 5개월 : 1.703%</t>
  </si>
  <si>
    <t xml:space="preserve">    {(6.849 ＋ 1.867 ＋ 1.703) ÷ 3} = 3.473%</t>
  </si>
  <si>
    <t xml:space="preserve">    (재료비 2억원 ＋ 노무비 1억원) × 0.03473 = 10,419(천원)</t>
  </si>
  <si>
    <t>3. 조경공사로서 공사규모가 40억원(재료비 23억원. 노무비 9억원)</t>
  </si>
  <si>
    <t xml:space="preserve">   공사기간이 10개월인 공사의 경우 </t>
  </si>
  <si>
    <t xml:space="preserve">  ▶(세금과공과의 계산)</t>
  </si>
  <si>
    <t xml:space="preserve">    (공종) 조경공사 : 0.721%</t>
  </si>
  <si>
    <t xml:space="preserve">    (규모) 40억원 : 0.620%</t>
  </si>
  <si>
    <t xml:space="preserve">    (기간) 10개월 : 0.291%</t>
  </si>
  <si>
    <t xml:space="preserve">    {(0.721 ＋ 0.620 ＋ 0.291) ÷ 3} = 0.544%</t>
  </si>
  <si>
    <t xml:space="preserve">    (재료비 23억원 ＋ 노무비 9억원) × 0.00544 = 17,408(천원)</t>
  </si>
  <si>
    <t>주 1) 비율(%) : 공사원가계산시 간접노무비 계산방법 [별표 2-1] 참조</t>
  </si>
  <si>
    <t xml:space="preserve">                - 예정가격 작성요령(행정자치부예규 제40호, 2016.1.19)</t>
  </si>
  <si>
    <t>공사기간별
(6개월 이하)</t>
    <phoneticPr fontId="1" type="noConversion"/>
  </si>
  <si>
    <t>THK=4.8mm*4'*8'(준내수)</t>
  </si>
  <si>
    <t>잡재료 및 소모재료</t>
  </si>
  <si>
    <t>주재료비의 5%</t>
  </si>
  <si>
    <t>간단기준</t>
  </si>
  <si>
    <t>전력</t>
  </si>
  <si>
    <t>KWH</t>
  </si>
  <si>
    <t>내부천정3회</t>
  </si>
  <si>
    <t>내벽3회</t>
  </si>
  <si>
    <t>보통시멘트</t>
  </si>
  <si>
    <t>KSL 5201</t>
  </si>
  <si>
    <t>모래</t>
  </si>
  <si>
    <t>강모래</t>
  </si>
  <si>
    <t>㎥</t>
  </si>
  <si>
    <t>보양</t>
  </si>
  <si>
    <t>일반기계운전사</t>
  </si>
  <si>
    <t>L=100mm</t>
  </si>
  <si>
    <t>건설기계운전사</t>
  </si>
  <si>
    <t>단위</t>
    <phoneticPr fontId="6" type="noConversion"/>
  </si>
  <si>
    <t>수량</t>
    <phoneticPr fontId="6" type="noConversion"/>
  </si>
  <si>
    <t>이음철물</t>
  </si>
  <si>
    <t>연결핀, 단관비계</t>
  </si>
  <si>
    <t>가세틀</t>
  </si>
  <si>
    <t>1219*1820, 4.5kg</t>
  </si>
  <si>
    <t>비계기본틀</t>
  </si>
  <si>
    <t>H:1,700*W:1,219</t>
  </si>
  <si>
    <t>수평띠장</t>
  </si>
  <si>
    <t>L:1829</t>
  </si>
  <si>
    <t>쟈키</t>
  </si>
  <si>
    <t>Ø36*600</t>
  </si>
  <si>
    <t>투명락카</t>
  </si>
  <si>
    <t>벽산</t>
  </si>
  <si>
    <t>인테리어필름</t>
  </si>
  <si>
    <t>바퀴</t>
  </si>
  <si>
    <t>6"</t>
  </si>
  <si>
    <t>L:1,219</t>
  </si>
  <si>
    <t>손잡이기둥</t>
  </si>
  <si>
    <t>유리설치후 보양작업</t>
  </si>
  <si>
    <t>이동식강관조립말비계</t>
  </si>
  <si>
    <t>발판</t>
  </si>
  <si>
    <t>45*200*2,000</t>
  </si>
  <si>
    <t>장</t>
  </si>
  <si>
    <t>손잡이</t>
  </si>
  <si>
    <t>L:1,829</t>
  </si>
  <si>
    <t>유리끼우기</t>
  </si>
  <si>
    <t>강화유리(투명)</t>
  </si>
  <si>
    <t>THK=8mm</t>
  </si>
  <si>
    <t xml:space="preserve">&lt; 표 : 4 &gt; </t>
    <phoneticPr fontId="1" type="noConversion"/>
  </si>
  <si>
    <t>재질 및 규격</t>
    <phoneticPr fontId="1" type="noConversion"/>
  </si>
  <si>
    <t>단위</t>
    <phoneticPr fontId="1" type="noConversion"/>
  </si>
  <si>
    <t xml:space="preserve">&lt; 표 : 5 &gt; </t>
    <phoneticPr fontId="1" type="noConversion"/>
  </si>
  <si>
    <t xml:space="preserve">&lt; 표 : 6 &gt; </t>
    <phoneticPr fontId="1" type="noConversion"/>
  </si>
  <si>
    <t>단가조사비교표</t>
    <phoneticPr fontId="1" type="noConversion"/>
  </si>
  <si>
    <t>순번</t>
    <phoneticPr fontId="1" type="noConversion"/>
  </si>
  <si>
    <t>재 료 명</t>
    <phoneticPr fontId="1" type="noConversion"/>
  </si>
  <si>
    <t>거래실례가격</t>
    <phoneticPr fontId="1" type="noConversion"/>
  </si>
  <si>
    <t>조사가격</t>
    <phoneticPr fontId="1" type="noConversion"/>
  </si>
  <si>
    <t>조사단가</t>
    <phoneticPr fontId="1" type="noConversion"/>
  </si>
  <si>
    <t>물가자료</t>
    <phoneticPr fontId="1" type="noConversion"/>
  </si>
  <si>
    <t>물가정보</t>
    <phoneticPr fontId="1" type="noConversion"/>
  </si>
  <si>
    <t>견적(1)</t>
    <phoneticPr fontId="1" type="noConversion"/>
  </si>
  <si>
    <t>견적(2)</t>
    <phoneticPr fontId="1" type="noConversion"/>
  </si>
  <si>
    <t>견적(3)</t>
    <phoneticPr fontId="1" type="noConversion"/>
  </si>
  <si>
    <t>견적(4)</t>
    <phoneticPr fontId="1" type="noConversion"/>
  </si>
  <si>
    <t xml:space="preserve">단가 </t>
    <phoneticPr fontId="1" type="noConversion"/>
  </si>
  <si>
    <t>PAGE</t>
    <phoneticPr fontId="1" type="noConversion"/>
  </si>
  <si>
    <t>플라베니아</t>
  </si>
  <si>
    <t>THK=3mm*3'*6</t>
  </si>
  <si>
    <t>순설치원가+일반관리비+이윤(만원미만 절사)</t>
    <phoneticPr fontId="1" type="noConversion"/>
  </si>
  <si>
    <t>※건축표준품셈 14-5 잡철물제작설치</t>
  </si>
  <si>
    <t>※ 건축표준품셈 16-5-1 판유리끼우기</t>
  </si>
  <si>
    <t>※ 조사,공표 : 대한건설협회</t>
    <phoneticPr fontId="6" type="noConversion"/>
  </si>
  <si>
    <t>2016. 1.1
발표노임
(2016년 상반기)</t>
    <phoneticPr fontId="1" type="noConversion"/>
  </si>
  <si>
    <t>비고</t>
    <phoneticPr fontId="1" type="noConversion"/>
  </si>
  <si>
    <t>(단위 : 1000분율)</t>
    <phoneticPr fontId="1" type="noConversion"/>
  </si>
  <si>
    <t>1.</t>
    <phoneticPr fontId="1" type="noConversion"/>
  </si>
  <si>
    <t>광업</t>
    <phoneticPr fontId="1" type="noConversion"/>
  </si>
  <si>
    <t>석탄광업</t>
    <phoneticPr fontId="1" type="noConversion"/>
  </si>
  <si>
    <t>계량기·광학기계·기타정밀기구 제조업</t>
    <phoneticPr fontId="1" type="noConversion"/>
  </si>
  <si>
    <t>석회석광업</t>
    <phoneticPr fontId="1" type="noConversion"/>
  </si>
  <si>
    <t>전기·가스·증기 및 수도사업</t>
    <phoneticPr fontId="1" type="noConversion"/>
  </si>
  <si>
    <t>인쇄물 가공업</t>
    <phoneticPr fontId="1" type="noConversion"/>
  </si>
  <si>
    <t>신문·화폐발행, 출판업</t>
    <phoneticPr fontId="1" type="noConversion"/>
  </si>
  <si>
    <t>코크스, 연탄 및 석유정제품 제조업</t>
    <phoneticPr fontId="1" type="noConversion"/>
  </si>
  <si>
    <t>고무제품 제조업</t>
    <phoneticPr fontId="1" type="noConversion"/>
  </si>
  <si>
    <t>비금속광물제품 및 금속제품</t>
    <phoneticPr fontId="1" type="noConversion"/>
  </si>
  <si>
    <t>제조업 또는 금속가공업</t>
    <phoneticPr fontId="1" type="noConversion"/>
  </si>
  <si>
    <t>산재보험료</t>
    <phoneticPr fontId="1" type="noConversion"/>
  </si>
  <si>
    <t>특허권사용료</t>
    <phoneticPr fontId="1" type="noConversion"/>
  </si>
  <si>
    <t>기술료</t>
    <phoneticPr fontId="1" type="noConversion"/>
  </si>
  <si>
    <t>연구개발비</t>
    <phoneticPr fontId="1" type="noConversion"/>
  </si>
  <si>
    <t>품질관리비</t>
    <phoneticPr fontId="1" type="noConversion"/>
  </si>
  <si>
    <t>가설비</t>
    <phoneticPr fontId="1" type="noConversion"/>
  </si>
  <si>
    <t>지급임차료</t>
    <phoneticPr fontId="1" type="noConversion"/>
  </si>
  <si>
    <t>보험료</t>
    <phoneticPr fontId="1" type="noConversion"/>
  </si>
  <si>
    <t>복리후생비</t>
    <phoneticPr fontId="1" type="noConversion"/>
  </si>
  <si>
    <t>보관비</t>
    <phoneticPr fontId="1" type="noConversion"/>
  </si>
  <si>
    <t>외주가공비</t>
    <phoneticPr fontId="1" type="noConversion"/>
  </si>
  <si>
    <t>안전관리비</t>
    <phoneticPr fontId="1" type="noConversion"/>
  </si>
  <si>
    <t>소모품비</t>
    <phoneticPr fontId="1" type="noConversion"/>
  </si>
  <si>
    <t>여비.교통.통신비</t>
    <phoneticPr fontId="1" type="noConversion"/>
  </si>
  <si>
    <t>세금과공과</t>
    <phoneticPr fontId="1" type="noConversion"/>
  </si>
  <si>
    <t>폐기물처리비</t>
    <phoneticPr fontId="1" type="noConversion"/>
  </si>
  <si>
    <t>도서인쇄비</t>
    <phoneticPr fontId="1" type="noConversion"/>
  </si>
  <si>
    <t>지급수수료</t>
    <phoneticPr fontId="1" type="noConversion"/>
  </si>
  <si>
    <t>환경보전비</t>
    <phoneticPr fontId="1" type="noConversion"/>
  </si>
  <si>
    <t>보상비</t>
    <phoneticPr fontId="1" type="noConversion"/>
  </si>
  <si>
    <t>안전점검비</t>
    <phoneticPr fontId="1" type="noConversion"/>
  </si>
  <si>
    <t>퇴직공제부금비</t>
    <phoneticPr fontId="1" type="noConversion"/>
  </si>
  <si>
    <t>기타법정경비</t>
    <phoneticPr fontId="1" type="noConversion"/>
  </si>
  <si>
    <t>감가상각비</t>
    <phoneticPr fontId="1" type="noConversion"/>
  </si>
  <si>
    <t>하자보수비</t>
    <phoneticPr fontId="1" type="noConversion"/>
  </si>
  <si>
    <t>현장관리비</t>
    <phoneticPr fontId="1" type="noConversion"/>
  </si>
  <si>
    <t>구분</t>
    <phoneticPr fontId="1" type="noConversion"/>
  </si>
  <si>
    <t>공   사   규   모   별</t>
    <phoneticPr fontId="1" type="noConversion"/>
  </si>
  <si>
    <t>공   사   기   간   별</t>
    <phoneticPr fontId="1" type="noConversion"/>
  </si>
  <si>
    <t>50억원~300억미만</t>
    <phoneticPr fontId="1" type="noConversion"/>
  </si>
  <si>
    <t>300억원~1,000억미만</t>
    <phoneticPr fontId="1" type="noConversion"/>
  </si>
  <si>
    <t>1,000억 이상</t>
    <phoneticPr fontId="1" type="noConversion"/>
  </si>
  <si>
    <t>6개월 이하</t>
    <phoneticPr fontId="1" type="noConversion"/>
  </si>
  <si>
    <t>6월초과~12개월이하</t>
    <phoneticPr fontId="1" type="noConversion"/>
  </si>
  <si>
    <t>12개월초과~36개월이하</t>
    <phoneticPr fontId="1" type="noConversion"/>
  </si>
  <si>
    <t>37개월 이상</t>
    <phoneticPr fontId="1" type="noConversion"/>
  </si>
  <si>
    <t>금  액</t>
    <phoneticPr fontId="1" type="noConversion"/>
  </si>
  <si>
    <t>구성비</t>
    <phoneticPr fontId="1" type="noConversion"/>
  </si>
  <si>
    <t>공사원가</t>
    <phoneticPr fontId="1" type="noConversion"/>
  </si>
  <si>
    <t>재료비</t>
    <phoneticPr fontId="1" type="noConversion"/>
  </si>
  <si>
    <t>노무비</t>
    <phoneticPr fontId="1" type="noConversion"/>
  </si>
  <si>
    <t>외주비</t>
    <phoneticPr fontId="1" type="noConversion"/>
  </si>
  <si>
    <t>(재료비 + 노무비)</t>
    <phoneticPr fontId="1" type="noConversion"/>
  </si>
  <si>
    <t xml:space="preserve"> - 경 비 - </t>
    <phoneticPr fontId="1" type="noConversion"/>
  </si>
  <si>
    <t>1)</t>
    <phoneticPr fontId="1" type="noConversion"/>
  </si>
  <si>
    <t>전력비</t>
    <phoneticPr fontId="1" type="noConversion"/>
  </si>
  <si>
    <t>수도광열비</t>
    <phoneticPr fontId="1" type="noConversion"/>
  </si>
  <si>
    <t>운반비</t>
    <phoneticPr fontId="1" type="noConversion"/>
  </si>
  <si>
    <t>기계경비</t>
    <phoneticPr fontId="1" type="noConversion"/>
  </si>
  <si>
    <t>특허권사용료</t>
    <phoneticPr fontId="1" type="noConversion"/>
  </si>
  <si>
    <t>기술료</t>
    <phoneticPr fontId="1" type="noConversion"/>
  </si>
  <si>
    <t>연구개발비</t>
    <phoneticPr fontId="1" type="noConversion"/>
  </si>
  <si>
    <t>품질관리비</t>
    <phoneticPr fontId="1" type="noConversion"/>
  </si>
  <si>
    <t>가설비</t>
    <phoneticPr fontId="1" type="noConversion"/>
  </si>
  <si>
    <t>비           고</t>
    <phoneticPr fontId="1" type="noConversion"/>
  </si>
  <si>
    <t>비    목</t>
    <phoneticPr fontId="1" type="noConversion"/>
  </si>
  <si>
    <t>기타경비</t>
    <phoneticPr fontId="1" type="noConversion"/>
  </si>
  <si>
    <t>공사종류별</t>
    <phoneticPr fontId="1" type="noConversion"/>
  </si>
  <si>
    <t>건축공사</t>
    <phoneticPr fontId="1" type="noConversion"/>
  </si>
  <si>
    <t>특수공사 (포장, 준설 등)</t>
    <phoneticPr fontId="1" type="noConversion"/>
  </si>
  <si>
    <t>300억 이상</t>
    <phoneticPr fontId="1" type="noConversion"/>
  </si>
  <si>
    <t>공사기간별</t>
    <phoneticPr fontId="1" type="noConversion"/>
  </si>
  <si>
    <t>6개월 미만</t>
    <phoneticPr fontId="1" type="noConversion"/>
  </si>
  <si>
    <t>6 ~ 12개월 미만</t>
    <phoneticPr fontId="1" type="noConversion"/>
  </si>
  <si>
    <t>12개월 이상</t>
    <phoneticPr fontId="1" type="noConversion"/>
  </si>
  <si>
    <t>조사비율(%)</t>
    <phoneticPr fontId="1" type="noConversion"/>
  </si>
  <si>
    <t>합계</t>
    <phoneticPr fontId="6" type="noConversion"/>
  </si>
  <si>
    <t>보통인부</t>
    <phoneticPr fontId="6" type="noConversion"/>
  </si>
  <si>
    <t>수량</t>
    <phoneticPr fontId="1" type="noConversion"/>
  </si>
  <si>
    <t>㎡</t>
    <phoneticPr fontId="6" type="noConversion"/>
  </si>
  <si>
    <t xml:space="preserve">구   분 </t>
    <phoneticPr fontId="1" type="noConversion"/>
  </si>
  <si>
    <t>구성비(%)</t>
    <phoneticPr fontId="1" type="noConversion"/>
  </si>
  <si>
    <t xml:space="preserve"> 비   목</t>
    <phoneticPr fontId="1" type="noConversion"/>
  </si>
  <si>
    <t>간접재료비</t>
    <phoneticPr fontId="1" type="noConversion"/>
  </si>
  <si>
    <t>소계</t>
    <phoneticPr fontId="1" type="noConversion"/>
  </si>
  <si>
    <t>총원가</t>
    <phoneticPr fontId="1" type="noConversion"/>
  </si>
  <si>
    <t>합계</t>
    <phoneticPr fontId="1" type="noConversion"/>
  </si>
  <si>
    <t>삭제열 배열</t>
    <phoneticPr fontId="6" type="noConversion"/>
  </si>
  <si>
    <t>삭제열 검산</t>
    <phoneticPr fontId="6" type="noConversion"/>
  </si>
  <si>
    <t>이름 / 날짜</t>
    <phoneticPr fontId="6" type="noConversion"/>
  </si>
  <si>
    <t>수정 내용</t>
    <phoneticPr fontId="6" type="noConversion"/>
  </si>
  <si>
    <t>m</t>
    <phoneticPr fontId="6" type="noConversion"/>
  </si>
  <si>
    <t>Kg</t>
    <phoneticPr fontId="6" type="noConversion"/>
  </si>
  <si>
    <t>EA</t>
    <phoneticPr fontId="6" type="noConversion"/>
  </si>
  <si>
    <t>ST'L PLATE</t>
    <phoneticPr fontId="6" type="noConversion"/>
  </si>
  <si>
    <t>GAL-V, THK=1.6mm(S)</t>
    <phoneticPr fontId="6" type="noConversion"/>
  </si>
  <si>
    <t>철재면</t>
    <phoneticPr fontId="6" type="noConversion"/>
  </si>
  <si>
    <t>석고보드면, 합판면</t>
    <phoneticPr fontId="6" type="noConversion"/>
  </si>
  <si>
    <t>LINE PUTTY</t>
    <phoneticPr fontId="6" type="noConversion"/>
  </si>
  <si>
    <t>도장작업시보양작업</t>
    <phoneticPr fontId="6" type="noConversion"/>
  </si>
  <si>
    <t>칼라락카</t>
    <phoneticPr fontId="6" type="noConversion"/>
  </si>
  <si>
    <t>철재면기준</t>
    <phoneticPr fontId="6" type="noConversion"/>
  </si>
  <si>
    <t>건축목공</t>
    <phoneticPr fontId="6" type="noConversion"/>
  </si>
  <si>
    <t>인</t>
    <phoneticPr fontId="6" type="noConversion"/>
  </si>
  <si>
    <t>계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</si>
  <si>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</si>
  <si>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</si>
  <si>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</si>
  <si>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EA</t>
    <phoneticPr fontId="6" type="noConversion"/>
  </si>
  <si>
    <t>인</t>
    <phoneticPr fontId="10" type="noConversion"/>
  </si>
  <si>
    <t>단위</t>
    <phoneticPr fontId="6" type="noConversion"/>
  </si>
  <si>
    <t>수량</t>
    <phoneticPr fontId="6" type="noConversion"/>
  </si>
  <si>
    <t>계</t>
    <phoneticPr fontId="6" type="noConversion"/>
  </si>
  <si>
    <t>단위</t>
    <phoneticPr fontId="6" type="noConversion"/>
  </si>
  <si>
    <t>보통인부</t>
    <phoneticPr fontId="6" type="noConversion"/>
  </si>
  <si>
    <t>인</t>
    <phoneticPr fontId="6" type="noConversion"/>
  </si>
  <si>
    <t>계</t>
    <phoneticPr fontId="6" type="noConversion"/>
  </si>
  <si>
    <t>합계</t>
    <phoneticPr fontId="6" type="noConversion"/>
  </si>
  <si>
    <t>단위</t>
    <phoneticPr fontId="6" type="noConversion"/>
  </si>
  <si>
    <t>공구손료</t>
    <phoneticPr fontId="6" type="noConversion"/>
  </si>
  <si>
    <t>보통인부</t>
    <phoneticPr fontId="6" type="noConversion"/>
  </si>
  <si>
    <t>㎡</t>
    <phoneticPr fontId="6" type="noConversion"/>
  </si>
  <si>
    <t>청면TAPE</t>
    <phoneticPr fontId="6" type="noConversion"/>
  </si>
  <si>
    <t xml:space="preserve">폭5cm*10m/roll </t>
    <phoneticPr fontId="10" type="noConversion"/>
  </si>
  <si>
    <t>m</t>
    <phoneticPr fontId="6" type="noConversion"/>
  </si>
  <si>
    <t>보통인부</t>
    <phoneticPr fontId="10" type="noConversion"/>
  </si>
  <si>
    <t>합판</t>
    <phoneticPr fontId="6" type="noConversion"/>
  </si>
  <si>
    <t>PE 필름</t>
    <phoneticPr fontId="1" type="noConversion"/>
  </si>
  <si>
    <t>0.1mm * 180cm * 91m</t>
    <phoneticPr fontId="1" type="noConversion"/>
  </si>
  <si>
    <t>잡재료비</t>
    <phoneticPr fontId="6" type="noConversion"/>
  </si>
  <si>
    <t>식</t>
    <phoneticPr fontId="6" type="noConversion"/>
  </si>
  <si>
    <t>ℓ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</si>
  <si>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</si>
  <si>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</si>
  <si>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</si>
  <si>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단위</t>
    <phoneticPr fontId="6" type="noConversion"/>
  </si>
  <si>
    <t>수량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</si>
  <si>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</si>
  <si>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</si>
  <si>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</si>
  <si>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</si>
  <si>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</si>
  <si>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</si>
  <si>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단위</t>
    <phoneticPr fontId="6" type="noConversion"/>
  </si>
  <si>
    <t>수량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</si>
  <si>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</si>
  <si>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</si>
  <si>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</si>
  <si>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인</t>
    <phoneticPr fontId="6" type="noConversion"/>
  </si>
  <si>
    <t>식</t>
    <phoneticPr fontId="6" type="noConversion"/>
  </si>
  <si>
    <t>계</t>
    <phoneticPr fontId="6" type="noConversion"/>
  </si>
  <si>
    <t>합계</t>
    <phoneticPr fontId="6" type="noConversion"/>
  </si>
  <si>
    <t>HR</t>
    <phoneticPr fontId="6" type="noConversion"/>
  </si>
  <si>
    <t>Kg</t>
    <phoneticPr fontId="6" type="noConversion"/>
  </si>
  <si>
    <t>계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</si>
  <si>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</si>
  <si>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</si>
  <si>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</si>
  <si>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</si>
  <si>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</si>
  <si>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</si>
  <si>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</si>
  <si>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</si>
  <si>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</si>
  <si>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식</t>
    <phoneticPr fontId="6" type="noConversion"/>
  </si>
  <si>
    <t>매</t>
    <phoneticPr fontId="6" type="noConversion"/>
  </si>
  <si>
    <t>계</t>
    <phoneticPr fontId="6" type="noConversion"/>
  </si>
  <si>
    <t>공구손료</t>
    <phoneticPr fontId="6" type="noConversion"/>
  </si>
  <si>
    <t>공구손료</t>
    <phoneticPr fontId="10" type="noConversion"/>
  </si>
  <si>
    <t>내장공</t>
    <phoneticPr fontId="6" type="noConversion"/>
  </si>
  <si>
    <t>도장공</t>
    <phoneticPr fontId="6" type="noConversion"/>
  </si>
  <si>
    <t>㎡</t>
    <phoneticPr fontId="6" type="noConversion"/>
  </si>
  <si>
    <t>보통인부</t>
    <phoneticPr fontId="6" type="noConversion"/>
  </si>
  <si>
    <t>인</t>
    <phoneticPr fontId="6" type="noConversion"/>
  </si>
  <si>
    <t>식</t>
    <phoneticPr fontId="6" type="noConversion"/>
  </si>
  <si>
    <t>건축목공</t>
    <phoneticPr fontId="6" type="noConversion"/>
  </si>
  <si>
    <t>THK=8.5mm*4'*8'(준내수)</t>
    <phoneticPr fontId="10" type="noConversion"/>
  </si>
  <si>
    <t>접착제</t>
    <phoneticPr fontId="6" type="noConversion"/>
  </si>
  <si>
    <t>합판용</t>
    <phoneticPr fontId="6" type="noConversion"/>
  </si>
  <si>
    <t>걸레받이 설치</t>
    <phoneticPr fontId="1" type="noConversion"/>
  </si>
  <si>
    <t>노무비의 2%</t>
    <phoneticPr fontId="1" type="noConversion"/>
  </si>
  <si>
    <t>퍼티</t>
    <phoneticPr fontId="6" type="noConversion"/>
  </si>
  <si>
    <t>핸디택스(인테리어전용)</t>
    <phoneticPr fontId="6" type="noConversion"/>
  </si>
  <si>
    <t>연마지</t>
    <phoneticPr fontId="6" type="noConversion"/>
  </si>
  <si>
    <t>#120</t>
    <phoneticPr fontId="6" type="noConversion"/>
  </si>
  <si>
    <t>페인트</t>
    <phoneticPr fontId="6" type="noConversion"/>
  </si>
  <si>
    <t>걸레받이용 아크릴수지</t>
    <phoneticPr fontId="6" type="noConversion"/>
  </si>
  <si>
    <t>신너</t>
    <phoneticPr fontId="6" type="noConversion"/>
  </si>
  <si>
    <t>KSM6060-1</t>
    <phoneticPr fontId="10" type="noConversion"/>
  </si>
  <si>
    <t>주재료비의 3%</t>
    <phoneticPr fontId="6" type="noConversion"/>
  </si>
  <si>
    <t>용접봉</t>
    <phoneticPr fontId="6" type="noConversion"/>
  </si>
  <si>
    <t>3.2mm, CR-13</t>
    <phoneticPr fontId="10" type="noConversion"/>
  </si>
  <si>
    <t>산소</t>
    <phoneticPr fontId="6" type="noConversion"/>
  </si>
  <si>
    <t>ℓ</t>
    <phoneticPr fontId="6" type="noConversion"/>
  </si>
  <si>
    <t>아세틸렌</t>
    <phoneticPr fontId="10" type="noConversion"/>
  </si>
  <si>
    <t>전력</t>
    <phoneticPr fontId="6" type="noConversion"/>
  </si>
  <si>
    <t>KWH</t>
    <phoneticPr fontId="6" type="noConversion"/>
  </si>
  <si>
    <t>용접기</t>
    <phoneticPr fontId="6" type="noConversion"/>
  </si>
  <si>
    <t>교류 500AMP</t>
    <phoneticPr fontId="6" type="noConversion"/>
  </si>
  <si>
    <t>철공</t>
    <phoneticPr fontId="6" type="noConversion"/>
  </si>
  <si>
    <t>특별인부</t>
    <phoneticPr fontId="6" type="noConversion"/>
  </si>
  <si>
    <t>Kg당기준</t>
    <phoneticPr fontId="6" type="noConversion"/>
  </si>
  <si>
    <t>TON당기준</t>
    <phoneticPr fontId="6" type="noConversion"/>
  </si>
  <si>
    <t>철판공</t>
    <phoneticPr fontId="6" type="noConversion"/>
  </si>
  <si>
    <t>계</t>
    <phoneticPr fontId="6" type="noConversion"/>
  </si>
  <si>
    <t>ST'L PLATE</t>
    <phoneticPr fontId="6" type="noConversion"/>
  </si>
  <si>
    <t>앙카볼트</t>
    <phoneticPr fontId="6" type="noConversion"/>
  </si>
  <si>
    <t>M16*150</t>
    <phoneticPr fontId="10" type="noConversion"/>
  </si>
  <si>
    <t>철골공</t>
    <phoneticPr fontId="6" type="noConversion"/>
  </si>
  <si>
    <t>인</t>
    <phoneticPr fontId="6" type="noConversion"/>
  </si>
  <si>
    <t>각파이프</t>
    <phoneticPr fontId="6" type="noConversion"/>
  </si>
  <si>
    <t>30*30*1.4T</t>
    <phoneticPr fontId="10" type="noConversion"/>
  </si>
  <si>
    <t>잡철물제작설치</t>
    <phoneticPr fontId="6" type="noConversion"/>
  </si>
  <si>
    <t>보통기준</t>
    <phoneticPr fontId="10" type="noConversion"/>
  </si>
  <si>
    <t>Kg</t>
    <phoneticPr fontId="6" type="noConversion"/>
  </si>
  <si>
    <t>녹막이페인트</t>
    <phoneticPr fontId="6" type="noConversion"/>
  </si>
  <si>
    <t>벽체2회</t>
    <phoneticPr fontId="6" type="noConversion"/>
  </si>
  <si>
    <t>30*30*1.4T(S)</t>
    <phoneticPr fontId="6" type="noConversion"/>
  </si>
  <si>
    <t>각파이프구조틀보강</t>
    <phoneticPr fontId="6" type="noConversion"/>
  </si>
  <si>
    <t>30*30*1.4T(S),@450</t>
    <phoneticPr fontId="6" type="noConversion"/>
  </si>
  <si>
    <t>㎡</t>
    <phoneticPr fontId="6" type="noConversion"/>
  </si>
  <si>
    <t>계</t>
    <phoneticPr fontId="6" type="noConversion"/>
  </si>
  <si>
    <t>앵커볼트</t>
    <phoneticPr fontId="6" type="noConversion"/>
  </si>
  <si>
    <t>EA</t>
    <phoneticPr fontId="6" type="noConversion"/>
  </si>
  <si>
    <t>각파이프구조틀보강철물</t>
    <phoneticPr fontId="6" type="noConversion"/>
  </si>
  <si>
    <t>※ ㎡당 산출기준 : 높이 3.6m의 벽체를 2.4m설치하였을 때 평균적 용량(@900간격 기준)</t>
    <phoneticPr fontId="6" type="noConversion"/>
  </si>
  <si>
    <t>GAL-V, THK=1.6mm</t>
    <phoneticPr fontId="6" type="noConversion"/>
  </si>
  <si>
    <t>잡철물제작설치(강판)</t>
    <phoneticPr fontId="6" type="noConversion"/>
  </si>
  <si>
    <t>각파이프구조틀보강</t>
    <phoneticPr fontId="6" type="noConversion"/>
  </si>
  <si>
    <t>30*30*1.4T(S),@450</t>
    <phoneticPr fontId="10" type="noConversion"/>
  </si>
  <si>
    <t>- 갈바강판 규격 : 0.914*1.829(3'*6')=1.6717㎡</t>
    <phoneticPr fontId="10" type="noConversion"/>
  </si>
  <si>
    <t>- 갈바강판 1.6mm(3'*6') 단위중량 : 21.33kg</t>
    <phoneticPr fontId="10" type="noConversion"/>
  </si>
  <si>
    <t>- 갈바강판 1㎡ 단위중량 = 21.33/1.6717 = 12.7594kg</t>
    <phoneticPr fontId="10" type="noConversion"/>
  </si>
  <si>
    <t>보통기준</t>
    <phoneticPr fontId="6" type="noConversion"/>
  </si>
  <si>
    <t>SET</t>
    <phoneticPr fontId="6" type="noConversion"/>
  </si>
  <si>
    <t>내장공</t>
    <phoneticPr fontId="6" type="noConversion"/>
  </si>
  <si>
    <t>합계</t>
    <phoneticPr fontId="6" type="noConversion"/>
  </si>
  <si>
    <t>단위</t>
    <phoneticPr fontId="6" type="noConversion"/>
  </si>
  <si>
    <t>수량</t>
    <phoneticPr fontId="6" type="noConversion"/>
  </si>
  <si>
    <t>절곡가공</t>
    <phoneticPr fontId="6" type="noConversion"/>
  </si>
  <si>
    <t>V-컷팅</t>
    <phoneticPr fontId="6" type="noConversion"/>
  </si>
  <si>
    <t>M</t>
    <phoneticPr fontId="6" type="noConversion"/>
  </si>
  <si>
    <t>내장공</t>
    <phoneticPr fontId="6" type="noConversion"/>
  </si>
  <si>
    <t>인</t>
    <phoneticPr fontId="6" type="noConversion"/>
  </si>
  <si>
    <t>보통인부</t>
    <phoneticPr fontId="6" type="noConversion"/>
  </si>
  <si>
    <t>개</t>
    <phoneticPr fontId="6" type="noConversion"/>
  </si>
  <si>
    <t>#6 Φ3.5mm, 1"</t>
    <phoneticPr fontId="10" type="noConversion"/>
  </si>
  <si>
    <t>LOUVER 몰딩</t>
    <phoneticPr fontId="6" type="noConversion"/>
  </si>
  <si>
    <t>100*100</t>
    <phoneticPr fontId="6" type="noConversion"/>
  </si>
  <si>
    <t>인력품의 4%</t>
    <phoneticPr fontId="1" type="noConversion"/>
  </si>
  <si>
    <t>오공 205</t>
    <phoneticPr fontId="6" type="noConversion"/>
  </si>
  <si>
    <t>메탈 스터드(Metal Stud)</t>
    <phoneticPr fontId="6" type="noConversion"/>
  </si>
  <si>
    <t>65*45*0.8</t>
    <phoneticPr fontId="6" type="noConversion"/>
  </si>
  <si>
    <t>메탈 러너</t>
    <phoneticPr fontId="6" type="noConversion"/>
  </si>
  <si>
    <t>67*40*0.8</t>
    <phoneticPr fontId="10" type="noConversion"/>
  </si>
  <si>
    <t>m</t>
    <phoneticPr fontId="6" type="noConversion"/>
  </si>
  <si>
    <t>Hilti Pin</t>
    <phoneticPr fontId="6" type="noConversion"/>
  </si>
  <si>
    <t>용접봉</t>
    <phoneticPr fontId="10" type="noConversion"/>
  </si>
  <si>
    <t>특별인부</t>
    <phoneticPr fontId="10" type="noConversion"/>
  </si>
  <si>
    <t>보통인부</t>
    <phoneticPr fontId="10" type="noConversion"/>
  </si>
  <si>
    <t>공구손료</t>
    <phoneticPr fontId="10" type="noConversion"/>
  </si>
  <si>
    <t>*145.924%</t>
    <phoneticPr fontId="6" type="noConversion"/>
  </si>
  <si>
    <t>석고보드</t>
    <phoneticPr fontId="6" type="noConversion"/>
  </si>
  <si>
    <t>THK=9.5*3'*6'</t>
    <phoneticPr fontId="6" type="noConversion"/>
  </si>
  <si>
    <t>내장공</t>
    <phoneticPr fontId="10" type="noConversion"/>
  </si>
  <si>
    <t>*145.924%</t>
    <phoneticPr fontId="6" type="noConversion"/>
  </si>
  <si>
    <t>도장공</t>
    <phoneticPr fontId="6" type="noConversion"/>
  </si>
  <si>
    <t>석면테이프</t>
    <phoneticPr fontId="6" type="noConversion"/>
  </si>
  <si>
    <t>휠러</t>
    <phoneticPr fontId="6" type="noConversion"/>
  </si>
  <si>
    <t>외부용</t>
    <phoneticPr fontId="6" type="noConversion"/>
  </si>
  <si>
    <t>퍼티</t>
    <phoneticPr fontId="6" type="noConversion"/>
  </si>
  <si>
    <t>뽀리퍼티</t>
    <phoneticPr fontId="6" type="noConversion"/>
  </si>
  <si>
    <t>위시프라이머</t>
    <phoneticPr fontId="6" type="noConversion"/>
  </si>
  <si>
    <t>ZQL011</t>
    <phoneticPr fontId="6" type="noConversion"/>
  </si>
  <si>
    <t>하이덴(비닐)</t>
    <phoneticPr fontId="6" type="noConversion"/>
  </si>
  <si>
    <t>0.01T, W:150㎝, ℓ:20m</t>
    <phoneticPr fontId="6" type="noConversion"/>
  </si>
  <si>
    <t>KSM6030 1종, 2류</t>
    <phoneticPr fontId="10" type="noConversion"/>
  </si>
  <si>
    <t>신너</t>
    <phoneticPr fontId="10" type="noConversion"/>
  </si>
  <si>
    <t>KSM6060-2</t>
    <phoneticPr fontId="10" type="noConversion"/>
  </si>
  <si>
    <t>신너</t>
    <phoneticPr fontId="10" type="noConversion"/>
  </si>
  <si>
    <t>소모재료비</t>
    <phoneticPr fontId="6" type="noConversion"/>
  </si>
  <si>
    <t>도장작업시보양작업</t>
    <phoneticPr fontId="6" type="noConversion"/>
  </si>
  <si>
    <t>계</t>
    <phoneticPr fontId="6" type="noConversion"/>
  </si>
  <si>
    <t>셸락니스</t>
    <phoneticPr fontId="6" type="noConversion"/>
  </si>
  <si>
    <t>락카프라이머</t>
    <phoneticPr fontId="10" type="noConversion"/>
  </si>
  <si>
    <t>LAA049</t>
    <phoneticPr fontId="10" type="noConversion"/>
  </si>
  <si>
    <t>미네랄스피릿</t>
    <phoneticPr fontId="6" type="noConversion"/>
  </si>
  <si>
    <t>오일샤페사</t>
    <phoneticPr fontId="10" type="noConversion"/>
  </si>
  <si>
    <t>락카프라이머</t>
    <phoneticPr fontId="10" type="noConversion"/>
  </si>
  <si>
    <t>LAA049</t>
    <phoneticPr fontId="10" type="noConversion"/>
  </si>
  <si>
    <t>KSM6060-3</t>
    <phoneticPr fontId="10" type="noConversion"/>
  </si>
  <si>
    <t>칼라락카</t>
    <phoneticPr fontId="10" type="noConversion"/>
  </si>
  <si>
    <t>CL440-1000</t>
    <phoneticPr fontId="10" type="noConversion"/>
  </si>
  <si>
    <t>MC-319</t>
    <phoneticPr fontId="6" type="noConversion"/>
  </si>
  <si>
    <t>주재료비의10%</t>
    <phoneticPr fontId="6" type="noConversion"/>
  </si>
  <si>
    <t>도장작업시보양작업</t>
    <phoneticPr fontId="6" type="noConversion"/>
  </si>
  <si>
    <t>미네랄스피릿</t>
    <phoneticPr fontId="6" type="noConversion"/>
  </si>
  <si>
    <t>연마지</t>
    <phoneticPr fontId="6" type="noConversion"/>
  </si>
  <si>
    <t>#120</t>
    <phoneticPr fontId="6" type="noConversion"/>
  </si>
  <si>
    <t>매</t>
    <phoneticPr fontId="6" type="noConversion"/>
  </si>
  <si>
    <t>주재료비의 6%</t>
    <phoneticPr fontId="6" type="noConversion"/>
  </si>
  <si>
    <t>※ 건축표준품셈 16-5-1 판유리끼우기</t>
    <phoneticPr fontId="9" type="noConversion"/>
  </si>
  <si>
    <t>강화유리</t>
    <phoneticPr fontId="6" type="noConversion"/>
  </si>
  <si>
    <t>인력품의 1%</t>
    <phoneticPr fontId="6" type="noConversion"/>
  </si>
  <si>
    <t>※ 천장은 기존(벽체) 품의 20%를 가산함</t>
    <phoneticPr fontId="6" type="noConversion"/>
  </si>
  <si>
    <t>유리 3T이하</t>
    <phoneticPr fontId="6" type="noConversion"/>
  </si>
  <si>
    <t>유리 5T이하</t>
    <phoneticPr fontId="6" type="noConversion"/>
  </si>
  <si>
    <t>유리 10T이상</t>
    <phoneticPr fontId="6" type="noConversion"/>
  </si>
  <si>
    <t>유리공</t>
    <phoneticPr fontId="6" type="noConversion"/>
  </si>
  <si>
    <t>※ 유리 규격별 노임 계상 기준</t>
    <phoneticPr fontId="6" type="noConversion"/>
  </si>
  <si>
    <t>단중/단위환산</t>
    <phoneticPr fontId="1" type="noConversion"/>
  </si>
  <si>
    <t>전월</t>
    <phoneticPr fontId="1" type="noConversion"/>
  </si>
  <si>
    <t>THK=9mm, EO</t>
    <phoneticPr fontId="1" type="noConversion"/>
  </si>
  <si>
    <t>※ 알판가공 또는 집기류 제작을위한 도안가공품비를 계상하고 자재의 할증을 10% 추가계상함</t>
    <phoneticPr fontId="1" type="noConversion"/>
  </si>
  <si>
    <t>50억 미만</t>
    <phoneticPr fontId="1" type="noConversion"/>
  </si>
  <si>
    <t>2016.9.1
발표노임
(2016년 하반기)</t>
    <phoneticPr fontId="1" type="noConversion"/>
  </si>
  <si>
    <t>비   고</t>
    <phoneticPr fontId="6" type="noConversion"/>
  </si>
  <si>
    <t>카바링 테이프</t>
    <phoneticPr fontId="1" type="noConversion"/>
  </si>
  <si>
    <t>규격별</t>
    <phoneticPr fontId="1" type="noConversion"/>
  </si>
  <si>
    <t>도장후 퍼티연마</t>
    <phoneticPr fontId="6" type="noConversion"/>
  </si>
  <si>
    <t>※ 공정순서 : ALL PUTTY(별도계상) → 천장칠 → 도장후퍼티연마 → 천장칠(2차) → 도장후퍼티연마(2차) → 천장칠(마감)</t>
    <phoneticPr fontId="1" type="noConversion"/>
  </si>
  <si>
    <t>※ 공정순서 : ALL PUTTY(별도계상) → 벽체칠 → 도장후퍼티연마 → 벽체칠(2차) → 도장후퍼티연마(2차) → 벽체칠(마감)</t>
    <phoneticPr fontId="1" type="noConversion"/>
  </si>
  <si>
    <t>칠</t>
    <phoneticPr fontId="6" type="noConversion"/>
  </si>
  <si>
    <t>LINE PUTTY(벽체)</t>
    <phoneticPr fontId="6" type="noConversion"/>
  </si>
  <si>
    <t>0.40*1220 방염우드</t>
    <phoneticPr fontId="1" type="noConversion"/>
  </si>
  <si>
    <t>6개월 이하</t>
    <phoneticPr fontId="1" type="noConversion"/>
  </si>
  <si>
    <t>인테리어 필름 붙임</t>
  </si>
  <si>
    <t>우드필러</t>
  </si>
  <si>
    <t>우드실러</t>
    <phoneticPr fontId="10" type="noConversion"/>
  </si>
  <si>
    <t>샌딩실러</t>
    <phoneticPr fontId="10" type="noConversion"/>
  </si>
  <si>
    <t>SB-L-37</t>
    <phoneticPr fontId="10" type="noConversion"/>
  </si>
  <si>
    <t>주재료비의5%</t>
    <phoneticPr fontId="6" type="noConversion"/>
  </si>
  <si>
    <t>0.022~0.035</t>
    <phoneticPr fontId="6" type="noConversion"/>
  </si>
  <si>
    <t>품    명</t>
    <phoneticPr fontId="1" type="noConversion"/>
  </si>
  <si>
    <t>직접재료비</t>
    <phoneticPr fontId="1" type="noConversion"/>
  </si>
  <si>
    <t>합  계</t>
    <phoneticPr fontId="1" type="noConversion"/>
  </si>
  <si>
    <t>먹매김</t>
    <phoneticPr fontId="9" type="noConversion"/>
  </si>
  <si>
    <t>현장정리정돈</t>
    <phoneticPr fontId="6" type="noConversion"/>
  </si>
  <si>
    <t>보양</t>
    <phoneticPr fontId="6" type="noConversion"/>
  </si>
  <si>
    <t>플라베니아,3*6(3T)</t>
    <phoneticPr fontId="6" type="noConversion"/>
  </si>
  <si>
    <t>㎡</t>
    <phoneticPr fontId="6" type="noConversion"/>
  </si>
  <si>
    <t>㎡</t>
    <phoneticPr fontId="6" type="noConversion"/>
  </si>
  <si>
    <t>THK=8.5mm * 1PLY, 바탕</t>
    <phoneticPr fontId="6" type="noConversion"/>
  </si>
  <si>
    <t>합판취부(벽체)</t>
    <phoneticPr fontId="6" type="noConversion"/>
  </si>
  <si>
    <t>THK=9mm * 1PLY(마감)</t>
    <phoneticPr fontId="6" type="noConversion"/>
  </si>
  <si>
    <t>섬유판가공취부(벽체)</t>
    <phoneticPr fontId="9" type="noConversion"/>
  </si>
  <si>
    <t>걸레받이</t>
    <phoneticPr fontId="6" type="noConversion"/>
  </si>
  <si>
    <t>30*30*1.4T(S),@450</t>
    <phoneticPr fontId="9" type="noConversion"/>
  </si>
  <si>
    <t>AL 몰딩설치</t>
    <phoneticPr fontId="6" type="noConversion"/>
  </si>
  <si>
    <t>M-BAR</t>
    <phoneticPr fontId="6" type="noConversion"/>
  </si>
  <si>
    <t>경량벽체틀(C-65)</t>
    <phoneticPr fontId="6" type="noConversion"/>
  </si>
  <si>
    <t>65*45*0.8T</t>
    <phoneticPr fontId="6" type="noConversion"/>
  </si>
  <si>
    <t>석고보드취부(벽)</t>
    <phoneticPr fontId="6" type="noConversion"/>
  </si>
  <si>
    <t>석고보드취부(천정)</t>
    <phoneticPr fontId="6" type="noConversion"/>
  </si>
  <si>
    <t>인테리어 필름 붙임</t>
    <phoneticPr fontId="6" type="noConversion"/>
  </si>
  <si>
    <t>ALL PUTTY(벽체)</t>
    <phoneticPr fontId="6" type="noConversion"/>
  </si>
  <si>
    <t>목재면기준</t>
    <phoneticPr fontId="6" type="noConversion"/>
  </si>
  <si>
    <t>투명락카</t>
    <phoneticPr fontId="6" type="noConversion"/>
  </si>
  <si>
    <t>수성페인트(로울러)</t>
    <phoneticPr fontId="6" type="noConversion"/>
  </si>
  <si>
    <t>유리끼우기</t>
    <phoneticPr fontId="6" type="noConversion"/>
  </si>
  <si>
    <t>THK=8mm</t>
    <phoneticPr fontId="6" type="noConversion"/>
  </si>
  <si>
    <t>※ 건축표준품셈 : 2-6-4 강관조립말비계(이동식) (2-6-6 공기에 대한 손율 중, 3개월 적용)</t>
    <phoneticPr fontId="9" type="noConversion"/>
  </si>
  <si>
    <t>소모품비</t>
    <phoneticPr fontId="10" type="noConversion"/>
  </si>
  <si>
    <t>식</t>
    <phoneticPr fontId="10" type="noConversion"/>
  </si>
  <si>
    <t>기준 정립 필요</t>
    <phoneticPr fontId="6" type="noConversion"/>
  </si>
  <si>
    <t>※ 건축표준품셈 : 2-9 건축물 보양  기타부분(목재) 기준</t>
    <phoneticPr fontId="6" type="noConversion"/>
  </si>
  <si>
    <t>※ 건축표준품셈 : 11-1-3 건축물 내부목공사 4. 수장합판</t>
    <phoneticPr fontId="1" type="noConversion"/>
  </si>
  <si>
    <t>※ 건축표준품셈 : 11-1-3 건축물 내부목공사 3. 벽체합판</t>
    <phoneticPr fontId="6" type="noConversion"/>
  </si>
  <si>
    <t>※ 건축표준품셈 : 11-3-2 걸레받이, 17-1 바탕만들기 2.석고보드면 준용, 17-9 걸레받이용  페인트</t>
    <phoneticPr fontId="1" type="noConversion"/>
  </si>
  <si>
    <t>※ 건축표준품셈 : 7-2-5 앵커볼트 설치</t>
    <phoneticPr fontId="1" type="noConversion"/>
  </si>
  <si>
    <t>식</t>
    <phoneticPr fontId="6" type="noConversion"/>
  </si>
  <si>
    <t>※ 건축표준품셈 : 14-5 각종 잡철물 제작 설치, (간단기준 적용)</t>
    <phoneticPr fontId="6" type="noConversion"/>
  </si>
  <si>
    <t>※ 건축표준품셈 : 14-5 각종 잡철물 제작 설치, (보통기준 적용)</t>
    <phoneticPr fontId="6" type="noConversion"/>
  </si>
  <si>
    <t>※ 건축표준품셈 : 14-5 각종 잡철물 제작 설치, 철판공 품셈적용(보통기준 적용)</t>
    <phoneticPr fontId="6" type="noConversion"/>
  </si>
  <si>
    <t>※ 강판의 가공설치 시 철공 대신 철판공을 적용한다.</t>
    <phoneticPr fontId="6" type="noConversion"/>
  </si>
  <si>
    <t xml:space="preserve">※ 건축표준품셈 14-7 조이너 및 몰딩 </t>
    <phoneticPr fontId="6" type="noConversion"/>
  </si>
  <si>
    <t>※ 건축표준품셈  14-5 잡철물제작설치</t>
    <phoneticPr fontId="6" type="noConversion"/>
  </si>
  <si>
    <t>※ 각파이프 30*30*1.4T 단위중량 : 1.218kg/m</t>
    <phoneticPr fontId="6" type="noConversion"/>
  </si>
  <si>
    <t>※ 건축표준품셈2015년도 14-5 경량 천장 철골틀</t>
    <phoneticPr fontId="6" type="noConversion"/>
  </si>
  <si>
    <t xml:space="preserve">   건축표준품셈 : 14-5 경량 천장 철골틀</t>
    <phoneticPr fontId="6" type="noConversion"/>
  </si>
  <si>
    <t>인력품의 6%</t>
    <phoneticPr fontId="6" type="noConversion"/>
  </si>
  <si>
    <t>잡자료 및 소모재료</t>
    <phoneticPr fontId="6" type="noConversion"/>
  </si>
  <si>
    <t>주재료비의 5%</t>
    <phoneticPr fontId="10" type="noConversion"/>
  </si>
  <si>
    <t>※ 실내건축표준품셈 경량-05</t>
    <phoneticPr fontId="6" type="noConversion"/>
  </si>
  <si>
    <t>※ 건축표준품셈 : 11-3-1 판붙임 2. 석고판 가. 나사고정</t>
    <phoneticPr fontId="1" type="noConversion"/>
  </si>
  <si>
    <t>※ 건축표준품셈 : 11-3-1 판붙임 2. 석고판 가. 나사고정(천정품셈적용)</t>
    <phoneticPr fontId="1" type="noConversion"/>
  </si>
  <si>
    <t>※ 실내건축표준품셈 수장-20</t>
    <phoneticPr fontId="6" type="noConversion"/>
  </si>
  <si>
    <t>※ 실내건축표준품셈 수장-21</t>
    <phoneticPr fontId="6" type="noConversion"/>
  </si>
  <si>
    <t>주재료비의 3%</t>
    <phoneticPr fontId="6" type="noConversion"/>
  </si>
  <si>
    <t>※ 건축표준품셈 17-1-1 2.석고보드면(LINE PUTTY)</t>
    <phoneticPr fontId="6" type="noConversion"/>
  </si>
  <si>
    <t>※ 실내건축표준품셈 도장-03 Putty 철재면</t>
    <phoneticPr fontId="6" type="noConversion"/>
  </si>
  <si>
    <t>인력품의 2%</t>
    <phoneticPr fontId="6" type="noConversion"/>
  </si>
  <si>
    <t>유리 10T미만</t>
    <phoneticPr fontId="6" type="noConversion"/>
  </si>
  <si>
    <t>THK=10mm 미만</t>
    <phoneticPr fontId="6" type="noConversion"/>
  </si>
  <si>
    <t>Dry Wall Screw</t>
    <phoneticPr fontId="6" type="noConversion"/>
  </si>
  <si>
    <t>EA</t>
    <phoneticPr fontId="6" type="noConversion"/>
  </si>
  <si>
    <t>※ 2014년 건축표준품셈 : 17-7 바니시 및 래커 칠 3. 래커 에나멜 칠</t>
    <phoneticPr fontId="1" type="noConversion"/>
  </si>
  <si>
    <t>※ 2014년 건축표준품셈 : 17-7 바니시 및 래커 칠 2. 클리어(투명)래커 칠</t>
    <phoneticPr fontId="1" type="noConversion"/>
  </si>
  <si>
    <t>U711A4001</t>
    <phoneticPr fontId="6" type="noConversion"/>
  </si>
  <si>
    <t>U711A0001</t>
    <phoneticPr fontId="6" type="noConversion"/>
  </si>
  <si>
    <t>※ 건축표준품셈 : 17-4 녹막이 페인트</t>
    <phoneticPr fontId="6" type="noConversion"/>
  </si>
  <si>
    <t>PAGE</t>
  </si>
  <si>
    <t>X-GN</t>
  </si>
  <si>
    <t>261(2)</t>
  </si>
  <si>
    <t>885(2)</t>
  </si>
  <si>
    <t>971(2)</t>
  </si>
  <si>
    <t>953(2)</t>
  </si>
  <si>
    <t>200(부)</t>
  </si>
  <si>
    <t>206(부)</t>
  </si>
  <si>
    <t>18(하)</t>
  </si>
  <si>
    <t>33(하)</t>
  </si>
  <si>
    <t>47(하)</t>
  </si>
  <si>
    <t>50(하)</t>
  </si>
  <si>
    <t>일위대가목록표</t>
    <phoneticPr fontId="6" type="noConversion"/>
  </si>
  <si>
    <t>품    명</t>
    <phoneticPr fontId="6" type="noConversion"/>
  </si>
  <si>
    <t>재질 및 규격</t>
    <phoneticPr fontId="6" type="noConversion"/>
  </si>
  <si>
    <t>합   계</t>
    <phoneticPr fontId="1" type="noConversion"/>
  </si>
  <si>
    <t>검산식</t>
    <phoneticPr fontId="1" type="noConversion"/>
  </si>
  <si>
    <t xml:space="preserve">&lt; 표 : 3 &gt; </t>
    <phoneticPr fontId="1" type="noConversion"/>
  </si>
  <si>
    <t>재료소요량산출표</t>
    <phoneticPr fontId="1" type="noConversion"/>
  </si>
  <si>
    <t>순번</t>
    <phoneticPr fontId="1" type="noConversion"/>
  </si>
  <si>
    <t>재질 및 규격</t>
    <phoneticPr fontId="1" type="noConversion"/>
  </si>
  <si>
    <t>단위</t>
    <phoneticPr fontId="1" type="noConversion"/>
  </si>
  <si>
    <t>수량</t>
    <phoneticPr fontId="1" type="noConversion"/>
  </si>
  <si>
    <t>산출근거</t>
    <phoneticPr fontId="1" type="noConversion"/>
  </si>
  <si>
    <t>비 고</t>
    <phoneticPr fontId="1" type="noConversion"/>
  </si>
  <si>
    <t>공사부문 시중노임</t>
    <phoneticPr fontId="6" type="noConversion"/>
  </si>
  <si>
    <t>순번</t>
    <phoneticPr fontId="6" type="noConversion"/>
  </si>
  <si>
    <t>년도</t>
    <phoneticPr fontId="1" type="noConversion"/>
  </si>
  <si>
    <t>월</t>
    <phoneticPr fontId="1" type="noConversion"/>
  </si>
  <si>
    <t>일</t>
    <phoneticPr fontId="1" type="noConversion"/>
  </si>
  <si>
    <t>수정일</t>
    <phoneticPr fontId="1" type="noConversion"/>
  </si>
  <si>
    <t>지난달</t>
    <phoneticPr fontId="1" type="noConversion"/>
  </si>
  <si>
    <t>※ 건축표준품셈 : 17-1-2 도장 후 퍼티 및 연마 / 17-2-2 수성페인트 로울러</t>
    <phoneticPr fontId="1" type="noConversion"/>
  </si>
  <si>
    <t>※ 건축표준품셈 : 17-1-2 도장 후 퍼티 및 연마 / 17-2-2 수성페인트 로울러(천장 품20%가산)</t>
    <phoneticPr fontId="1" type="noConversion"/>
  </si>
  <si>
    <t>ALL PUTTY(벽체)</t>
  </si>
  <si>
    <t>석고보드면, 합판면</t>
  </si>
  <si>
    <t>먹매김</t>
  </si>
  <si>
    <t>현장정리정돈</t>
  </si>
  <si>
    <t>-</t>
    <phoneticPr fontId="6" type="noConversion"/>
  </si>
  <si>
    <t xml:space="preserve">&lt; 표 : 2 &gt; </t>
    <phoneticPr fontId="1" type="noConversion"/>
  </si>
  <si>
    <t>내역산출표</t>
    <phoneticPr fontId="1" type="noConversion"/>
  </si>
  <si>
    <t>순번</t>
    <phoneticPr fontId="1" type="noConversion"/>
  </si>
  <si>
    <t>구   분</t>
    <phoneticPr fontId="1" type="noConversion"/>
  </si>
  <si>
    <t>재질 및 규격</t>
    <phoneticPr fontId="1" type="noConversion"/>
  </si>
  <si>
    <t>단위</t>
    <phoneticPr fontId="1" type="noConversion"/>
  </si>
  <si>
    <t>수량</t>
    <phoneticPr fontId="1" type="noConversion"/>
  </si>
  <si>
    <t>직접재료비</t>
    <phoneticPr fontId="1" type="noConversion"/>
  </si>
  <si>
    <t>직접노무비</t>
    <phoneticPr fontId="1" type="noConversion"/>
  </si>
  <si>
    <t>기계경비</t>
    <phoneticPr fontId="1" type="noConversion"/>
  </si>
  <si>
    <t>합계</t>
    <phoneticPr fontId="6" type="noConversion"/>
  </si>
  <si>
    <t>비  고</t>
    <phoneticPr fontId="1" type="noConversion"/>
  </si>
  <si>
    <t>단가</t>
    <phoneticPr fontId="1" type="noConversion"/>
  </si>
  <si>
    <t>금액</t>
    <phoneticPr fontId="1" type="noConversion"/>
  </si>
  <si>
    <t>단가</t>
    <phoneticPr fontId="1" type="noConversion"/>
  </si>
  <si>
    <t>주 1)</t>
    <phoneticPr fontId="1" type="noConversion"/>
  </si>
  <si>
    <t>주 2)</t>
    <phoneticPr fontId="1" type="noConversion"/>
  </si>
  <si>
    <t>주 3)</t>
    <phoneticPr fontId="1" type="noConversion"/>
  </si>
  <si>
    <t>주 4)</t>
    <phoneticPr fontId="1" type="noConversion"/>
  </si>
  <si>
    <t>계</t>
    <phoneticPr fontId="1" type="noConversion"/>
  </si>
  <si>
    <t>식</t>
    <phoneticPr fontId="1" type="noConversion"/>
  </si>
  <si>
    <t>합계</t>
    <phoneticPr fontId="1" type="noConversion"/>
  </si>
  <si>
    <t>플라베니아,3*6(3T)</t>
  </si>
  <si>
    <t>계</t>
    <phoneticPr fontId="6" type="noConversion"/>
  </si>
  <si>
    <t>산출근거(지우지마시오)</t>
    <phoneticPr fontId="6" type="noConversion"/>
  </si>
  <si>
    <t>2017. 9.1
발표노임</t>
  </si>
  <si>
    <t>보링공</t>
  </si>
  <si>
    <t>창호공</t>
  </si>
  <si>
    <t>*1037</t>
  </si>
  <si>
    <t>덕트공</t>
  </si>
  <si>
    <t>*1045</t>
  </si>
  <si>
    <t>인력운반공</t>
  </si>
  <si>
    <t>*1046</t>
  </si>
  <si>
    <t>화물차운전사</t>
  </si>
  <si>
    <t>기계설비공</t>
  </si>
  <si>
    <t>선원</t>
  </si>
  <si>
    <t>플랜트특별인부</t>
  </si>
  <si>
    <t>플랜트케이블전공</t>
  </si>
  <si>
    <t>플랜트계장공</t>
  </si>
  <si>
    <t>**1064</t>
  </si>
  <si>
    <t>플랜트덕트공</t>
  </si>
  <si>
    <t>플랜트보온공</t>
  </si>
  <si>
    <t>비파괴시험공</t>
  </si>
  <si>
    <t>*1068</t>
  </si>
  <si>
    <t>특급품질관리원</t>
  </si>
  <si>
    <t>고급품질관리원</t>
  </si>
  <si>
    <t>중급품질관리원</t>
  </si>
  <si>
    <t>초급품질관리원</t>
  </si>
  <si>
    <t>지적기사</t>
  </si>
  <si>
    <t>지적산업기사</t>
  </si>
  <si>
    <t>지적기능사</t>
  </si>
  <si>
    <t>석면해체공</t>
  </si>
  <si>
    <t>*2002</t>
  </si>
  <si>
    <t>*2003</t>
  </si>
  <si>
    <t>한식석공</t>
  </si>
  <si>
    <t>*3010</t>
  </si>
  <si>
    <t>통신관련기사</t>
  </si>
  <si>
    <t>통신관련산업기사</t>
  </si>
  <si>
    <t>통신관련기능사</t>
  </si>
  <si>
    <t>전기공사기사</t>
  </si>
  <si>
    <t>전기공사산업기사</t>
  </si>
  <si>
    <t>준공청소 포함</t>
    <phoneticPr fontId="6" type="noConversion"/>
  </si>
  <si>
    <t>인력품의 5%</t>
    <phoneticPr fontId="6" type="noConversion"/>
  </si>
  <si>
    <t>※ 건축표준품셈 17-1-1 2.석고보드면(ALL PUTTY)</t>
    <phoneticPr fontId="6" type="noConversion"/>
  </si>
  <si>
    <t>EA</t>
    <phoneticPr fontId="1" type="noConversion"/>
  </si>
  <si>
    <t>Dry Wall Screw</t>
    <phoneticPr fontId="1" type="noConversion"/>
  </si>
  <si>
    <t>419(2)</t>
    <phoneticPr fontId="1" type="noConversion"/>
  </si>
  <si>
    <t>419(2)</t>
    <phoneticPr fontId="1" type="noConversion"/>
  </si>
  <si>
    <t>L=100mm</t>
    <phoneticPr fontId="6" type="noConversion"/>
  </si>
  <si>
    <t>329(2)</t>
    <phoneticPr fontId="1" type="noConversion"/>
  </si>
  <si>
    <t>255(2)</t>
    <phoneticPr fontId="1" type="noConversion"/>
  </si>
  <si>
    <t>256(2)</t>
    <phoneticPr fontId="1" type="noConversion"/>
  </si>
  <si>
    <t>263(2)</t>
    <phoneticPr fontId="1" type="noConversion"/>
  </si>
  <si>
    <t>우드실러</t>
    <phoneticPr fontId="1" type="noConversion"/>
  </si>
  <si>
    <t>U711A0001</t>
    <phoneticPr fontId="1" type="noConversion"/>
  </si>
  <si>
    <t>우드필러</t>
    <phoneticPr fontId="1" type="noConversion"/>
  </si>
  <si>
    <t>U711A4001</t>
    <phoneticPr fontId="1" type="noConversion"/>
  </si>
  <si>
    <t>352(2)</t>
    <phoneticPr fontId="1" type="noConversion"/>
  </si>
  <si>
    <t>M.D.F</t>
    <phoneticPr fontId="1" type="noConversion"/>
  </si>
  <si>
    <t>THK=12mm, EO</t>
    <phoneticPr fontId="1" type="noConversion"/>
  </si>
  <si>
    <t>㎡</t>
    <phoneticPr fontId="1" type="noConversion"/>
  </si>
  <si>
    <t>353(2)</t>
    <phoneticPr fontId="1" type="noConversion"/>
  </si>
  <si>
    <t>THK=18mm, EO</t>
    <phoneticPr fontId="1" type="noConversion"/>
  </si>
  <si>
    <t>0.40*1220 방염우드</t>
    <phoneticPr fontId="1" type="noConversion"/>
  </si>
  <si>
    <t>X-GN</t>
    <phoneticPr fontId="1" type="noConversion"/>
  </si>
  <si>
    <t>PE 필름</t>
    <phoneticPr fontId="1" type="noConversion"/>
  </si>
  <si>
    <t>0.1mm * 180cm * 91m</t>
    <phoneticPr fontId="1" type="noConversion"/>
  </si>
  <si>
    <t>2016.하반기 미표기</t>
    <phoneticPr fontId="1" type="noConversion"/>
  </si>
  <si>
    <t>적39</t>
    <phoneticPr fontId="1" type="noConversion"/>
  </si>
  <si>
    <t>253(2)</t>
    <phoneticPr fontId="1" type="noConversion"/>
  </si>
  <si>
    <t>적685</t>
    <phoneticPr fontId="1" type="noConversion"/>
  </si>
  <si>
    <t>㎡</t>
    <phoneticPr fontId="1" type="noConversion"/>
  </si>
  <si>
    <t>카바링 테이프</t>
    <phoneticPr fontId="1" type="noConversion"/>
  </si>
  <si>
    <t>규격별</t>
    <phoneticPr fontId="1" type="noConversion"/>
  </si>
  <si>
    <t>플라베니아</t>
    <phoneticPr fontId="1" type="noConversion"/>
  </si>
  <si>
    <t>THK=3mm*3'*6</t>
    <phoneticPr fontId="6" type="noConversion"/>
  </si>
  <si>
    <t>2016.하반기 미표기</t>
    <phoneticPr fontId="1" type="noConversion"/>
  </si>
  <si>
    <t>2016.하반기 미표기</t>
    <phoneticPr fontId="1" type="noConversion"/>
  </si>
  <si>
    <t>샌딩실러</t>
    <phoneticPr fontId="1" type="noConversion"/>
  </si>
  <si>
    <t>SB-L-37</t>
    <phoneticPr fontId="1" type="noConversion"/>
  </si>
  <si>
    <t>ℓ</t>
    <phoneticPr fontId="1" type="noConversion"/>
  </si>
  <si>
    <t>2016.하반기 미표기</t>
    <phoneticPr fontId="1" type="noConversion"/>
  </si>
  <si>
    <t>인</t>
    <phoneticPr fontId="6" type="noConversion"/>
  </si>
  <si>
    <t>내역집계표</t>
    <phoneticPr fontId="1" type="noConversion"/>
  </si>
  <si>
    <t>※</t>
    <phoneticPr fontId="1" type="noConversion"/>
  </si>
  <si>
    <t>폐기물처리비</t>
    <phoneticPr fontId="1" type="noConversion"/>
  </si>
  <si>
    <t>CASTER&amp;ADJUSTER</t>
  </si>
  <si>
    <t>지정사양</t>
    <phoneticPr fontId="1" type="noConversion"/>
  </si>
  <si>
    <t>코아합판</t>
    <phoneticPr fontId="1" type="noConversion"/>
  </si>
  <si>
    <t>THK=15mm*4'*8'(라왕)</t>
    <phoneticPr fontId="1" type="noConversion"/>
  </si>
  <si>
    <t>THK=18mm*4'*8'(라왕)</t>
    <phoneticPr fontId="1" type="noConversion"/>
  </si>
  <si>
    <t>THK=9.5mm * 1PLY</t>
    <phoneticPr fontId="6" type="noConversion"/>
  </si>
  <si>
    <t>THK=9.5mm * 2PLY</t>
    <phoneticPr fontId="6" type="noConversion"/>
  </si>
  <si>
    <t>주) 금액 : &lt; 표 : 5 &gt; 일위대가표 참조</t>
  </si>
  <si>
    <t>간단기준</t>
    <phoneticPr fontId="10" type="noConversion"/>
  </si>
  <si>
    <t>4-1</t>
    <phoneticPr fontId="6" type="noConversion"/>
  </si>
  <si>
    <t>4-2</t>
    <phoneticPr fontId="6" type="noConversion"/>
  </si>
  <si>
    <t>로비 (공사영역 23.5*14.95)/2</t>
    <phoneticPr fontId="6" type="noConversion"/>
  </si>
  <si>
    <t>※ 건축표준품셈 : 2-10 건축물 현장정리(철골조 준용, 최저기준)</t>
    <phoneticPr fontId="6" type="noConversion"/>
  </si>
  <si>
    <t>※ 구조부 먹메김은 거푸집 해체 후 구조부 내부의 기준선을 표시하기 위한 작업임.</t>
    <phoneticPr fontId="6" type="noConversion"/>
  </si>
  <si>
    <t>※ 건축표준품셈 : 11-1-1 먹매김(구조부 주택 먹매김 준용)</t>
    <phoneticPr fontId="1" type="noConversion"/>
  </si>
  <si>
    <t>사인그래픽</t>
    <phoneticPr fontId="1" type="noConversion"/>
  </si>
  <si>
    <t>구조부</t>
    <phoneticPr fontId="6" type="noConversion"/>
  </si>
  <si>
    <t>구조부</t>
    <phoneticPr fontId="6" type="noConversion"/>
  </si>
  <si>
    <t>붙임</t>
  </si>
  <si>
    <t>노무비의 3%</t>
    <phoneticPr fontId="6" type="noConversion"/>
  </si>
  <si>
    <t>타일시멘트</t>
  </si>
  <si>
    <t>줄눈용, 백색</t>
  </si>
  <si>
    <t>타일줄눈</t>
    <phoneticPr fontId="6" type="noConversion"/>
  </si>
  <si>
    <t>※ 건축표준품셈 10-2-2 압착붙이기 - 타일규격에 따라 타일붙임품 변경, 타일할증3%</t>
    <phoneticPr fontId="6" type="noConversion"/>
  </si>
  <si>
    <t xml:space="preserve">                바닥붙임품 : 벽붙임 80%, 붙이는 면적 1.6㎡이하, 복잡한 장소 품20~30%가산</t>
    <phoneticPr fontId="6" type="noConversion"/>
  </si>
  <si>
    <t>※ 특수타일(유도타일,축광타일,문양연출위해 비규칙적 절단 시공되는 이형타일 등) 붙임은 품의 35~50%를 가산한다.</t>
    <phoneticPr fontId="6" type="noConversion"/>
  </si>
  <si>
    <t>지정타일</t>
    <phoneticPr fontId="1" type="noConversion"/>
  </si>
  <si>
    <t>THK=5mm, 지정사양</t>
    <phoneticPr fontId="1" type="noConversion"/>
  </si>
  <si>
    <t>지정타일 붙이기</t>
    <phoneticPr fontId="6" type="noConversion"/>
  </si>
  <si>
    <t>THK=5mm, 벽,압착붙임기준</t>
    <phoneticPr fontId="6" type="noConversion"/>
  </si>
  <si>
    <t>30*30*1.4T(S),@450</t>
    <phoneticPr fontId="6" type="noConversion"/>
  </si>
  <si>
    <t>THK=9.5mm * 2PLY</t>
    <phoneticPr fontId="6" type="noConversion"/>
  </si>
  <si>
    <t>[로비 전면 메인월]</t>
    <phoneticPr fontId="6" type="noConversion"/>
  </si>
  <si>
    <t>30x69, @450</t>
    <phoneticPr fontId="6" type="noConversion"/>
  </si>
  <si>
    <t>라왕각재</t>
  </si>
  <si>
    <t>국산</t>
  </si>
  <si>
    <t>재</t>
  </si>
  <si>
    <t>※ 건축표준품셈 11-1-3 건축물 내부목공사 / 1.벽체틀 / 1재=12자 * 1치 *1치 = 0.00334㎥ = 3.636m * 0.0303m * 0.0303</t>
    <phoneticPr fontId="1" type="noConversion"/>
  </si>
  <si>
    <t>- 각재소요량 : (((2.8*8+3.2*7)/(2.8*3.2))+((8*7)/(2.8*3.2))*0.15)*(0.03*0.069)/0.00334</t>
    <phoneticPr fontId="6" type="noConversion"/>
  </si>
  <si>
    <t>각재 벽체틀설치</t>
    <phoneticPr fontId="6" type="noConversion"/>
  </si>
  <si>
    <t>EX-201, 로비입면-B</t>
    <phoneticPr fontId="6" type="noConversion"/>
  </si>
  <si>
    <t>EX-202, GALLERY 입면-A,B</t>
    <phoneticPr fontId="6" type="noConversion"/>
  </si>
  <si>
    <t>H=100, 지정도장마감</t>
    <phoneticPr fontId="6" type="noConversion"/>
  </si>
  <si>
    <t>액자걸이 FRMAE 매설</t>
    <phoneticPr fontId="6" type="noConversion"/>
  </si>
  <si>
    <t>m</t>
    <phoneticPr fontId="6" type="noConversion"/>
  </si>
  <si>
    <t>지정사양, 설치포함</t>
    <phoneticPr fontId="6" type="noConversion"/>
  </si>
  <si>
    <t>12.5*H3</t>
    <phoneticPr fontId="6" type="noConversion"/>
  </si>
  <si>
    <t>12.5*H3-모니터(4.86*0.7)</t>
    <phoneticPr fontId="6" type="noConversion"/>
  </si>
  <si>
    <t>(3.7+5.45)*H4</t>
    <phoneticPr fontId="6" type="noConversion"/>
  </si>
  <si>
    <t>(3.7+5.45)</t>
    <phoneticPr fontId="6" type="noConversion"/>
  </si>
  <si>
    <t>[GALLERY 월]</t>
    <phoneticPr fontId="6" type="noConversion"/>
  </si>
  <si>
    <t>30x30, @450</t>
    <phoneticPr fontId="6" type="noConversion"/>
  </si>
  <si>
    <t>- 각재소요량 : (((2.8*8+3.2*7)/(2.8*3.2))+((8*7)/(2.8*3.2))*0.15)*(0.03*0.03)/0.00334</t>
    <phoneticPr fontId="6" type="noConversion"/>
  </si>
  <si>
    <t>(13.55)*H3+높은천장부(6.55*H1)</t>
    <phoneticPr fontId="6" type="noConversion"/>
  </si>
  <si>
    <t>벽체</t>
    <phoneticPr fontId="1" type="noConversion"/>
  </si>
  <si>
    <t>집기</t>
    <phoneticPr fontId="1" type="noConversion"/>
  </si>
  <si>
    <t>벽체</t>
    <phoneticPr fontId="1" type="noConversion"/>
  </si>
  <si>
    <t>집기</t>
    <phoneticPr fontId="1" type="noConversion"/>
  </si>
  <si>
    <t>사인그래픽</t>
    <phoneticPr fontId="1" type="noConversion"/>
  </si>
  <si>
    <t>가설</t>
    <phoneticPr fontId="1" type="noConversion"/>
  </si>
  <si>
    <t>가설</t>
    <phoneticPr fontId="1" type="noConversion"/>
  </si>
  <si>
    <t>제외사항 [공사기간 1개월(30일) 이상 반영]</t>
    <phoneticPr fontId="1" type="noConversion"/>
  </si>
  <si>
    <t>제외사항 [추정금액 3억원 이상의 건설공사]</t>
    <phoneticPr fontId="1" type="noConversion"/>
  </si>
  <si>
    <t>EX-203, SHOP/LIBRARY 입면-A</t>
    <phoneticPr fontId="6" type="noConversion"/>
  </si>
  <si>
    <t>ALL PUTTY(천정)</t>
    <phoneticPr fontId="6" type="noConversion"/>
  </si>
  <si>
    <t>간접조명 후레임</t>
    <phoneticPr fontId="6" type="noConversion"/>
  </si>
  <si>
    <t>GAL'V,THK=1.6mm(S) W=160</t>
    <phoneticPr fontId="6" type="noConversion"/>
  </si>
  <si>
    <t>LED LINE 조명 설치</t>
    <phoneticPr fontId="6" type="noConversion"/>
  </si>
  <si>
    <t>LED BAR 조명</t>
    <phoneticPr fontId="6" type="noConversion"/>
  </si>
  <si>
    <t>LED BAR 14.4W</t>
    <phoneticPr fontId="6" type="noConversion"/>
  </si>
  <si>
    <t>14.4W, 1M기준</t>
    <phoneticPr fontId="6" type="noConversion"/>
  </si>
  <si>
    <t>내선전공</t>
    <phoneticPr fontId="6" type="noConversion"/>
  </si>
  <si>
    <t>※ 전기품셈 5-25-2 LED 등기구 설치, 직부등 15W 이하 기준</t>
    <phoneticPr fontId="6" type="noConversion"/>
  </si>
  <si>
    <t>식</t>
    <phoneticPr fontId="6" type="noConversion"/>
  </si>
  <si>
    <t>인조대리석</t>
  </si>
  <si>
    <t>인조대리석</t>
    <phoneticPr fontId="1" type="noConversion"/>
  </si>
  <si>
    <t>인조대리석(가공시공비)</t>
  </si>
  <si>
    <t>인조대리석(가공시공비)</t>
    <phoneticPr fontId="1" type="noConversion"/>
  </si>
  <si>
    <t>상판류/ 판재가공, 제작 및 본딩</t>
  </si>
  <si>
    <t>상판류/ 판재가공, 제작 및 본딩</t>
    <phoneticPr fontId="1" type="noConversion"/>
  </si>
  <si>
    <t>벽체/ 판재가공, 현장접합 및 본딩</t>
    <phoneticPr fontId="1" type="noConversion"/>
  </si>
  <si>
    <t>THK=12mm, 하이막스, 솔리드B</t>
    <phoneticPr fontId="1" type="noConversion"/>
  </si>
  <si>
    <t>THK=12mm, 하이막스, 칩</t>
  </si>
  <si>
    <t>THK=12mm, 하이막스, 프리미엄</t>
    <phoneticPr fontId="1" type="noConversion"/>
  </si>
  <si>
    <t>인조대리석 상판시공</t>
    <phoneticPr fontId="6" type="noConversion"/>
  </si>
  <si>
    <t>인조대리석 측벽시공</t>
    <phoneticPr fontId="6" type="noConversion"/>
  </si>
  <si>
    <t>THK=12mm, 하이막스, 칩</t>
    <phoneticPr fontId="1" type="noConversion"/>
  </si>
  <si>
    <t>※ 거래실례가격 참조 (물가자료 492P)</t>
    <phoneticPr fontId="1" type="noConversion"/>
  </si>
  <si>
    <t>[카운터 겸 진열장]</t>
    <phoneticPr fontId="6" type="noConversion"/>
  </si>
  <si>
    <t>각재 구조틀설치</t>
    <phoneticPr fontId="6" type="noConversion"/>
  </si>
  <si>
    <t>30x30, @450, 집기/하우징류</t>
    <phoneticPr fontId="6" type="noConversion"/>
  </si>
  <si>
    <t>라왕각재</t>
    <phoneticPr fontId="6" type="noConversion"/>
  </si>
  <si>
    <t>국산</t>
    <phoneticPr fontId="6" type="noConversion"/>
  </si>
  <si>
    <t>재</t>
    <phoneticPr fontId="6" type="noConversion"/>
  </si>
  <si>
    <t>잡재료 및 소모재료</t>
    <phoneticPr fontId="6" type="noConversion"/>
  </si>
  <si>
    <t>주재료비의 5%</t>
    <phoneticPr fontId="6" type="noConversion"/>
  </si>
  <si>
    <t>식</t>
    <phoneticPr fontId="6" type="noConversion"/>
  </si>
  <si>
    <t>공구손료</t>
    <phoneticPr fontId="6" type="noConversion"/>
  </si>
  <si>
    <t>인력품의 2%</t>
    <phoneticPr fontId="6" type="noConversion"/>
  </si>
  <si>
    <t>※ 건축표준품셈 : 11-1-3 건축물 내부목공사 2. 간막이벽틀 준용</t>
    <phoneticPr fontId="9" type="noConversion"/>
  </si>
  <si>
    <t xml:space="preserve">   1재=12자 * 1치 *1치 = 0.00334㎥ = 3.636m * 0.0303m * 0.0303</t>
    <phoneticPr fontId="9" type="noConversion"/>
  </si>
  <si>
    <t>- 각재소요량 : (((2.8*8+3.2*7)/(2.8*3.2))*2+((8*7)/(2.8*3.2))*0.3)*0.03*0.03/0.00334</t>
    <phoneticPr fontId="6" type="noConversion"/>
  </si>
  <si>
    <t>THK=9mm * 1PLY, 집기/하우징류</t>
    <phoneticPr fontId="6" type="noConversion"/>
  </si>
  <si>
    <t>THK=20mm * 1PLY, 집기/하우징류</t>
    <phoneticPr fontId="6" type="noConversion"/>
  </si>
  <si>
    <t>THK=20mm, EO</t>
    <phoneticPr fontId="1" type="noConversion"/>
  </si>
  <si>
    <t>집기 파츠별 도안가공</t>
    <phoneticPr fontId="6" type="noConversion"/>
  </si>
  <si>
    <t>5-1</t>
    <phoneticPr fontId="6" type="noConversion"/>
  </si>
  <si>
    <t>[GR-01]</t>
    <phoneticPr fontId="6" type="noConversion"/>
  </si>
  <si>
    <t>실학박물관 외</t>
    <phoneticPr fontId="6" type="noConversion"/>
  </si>
  <si>
    <t>아크릴 스카시_문자</t>
    <phoneticPr fontId="6" type="noConversion"/>
  </si>
  <si>
    <t>H:200mm, T:10mm, 한글</t>
    <phoneticPr fontId="6" type="noConversion"/>
  </si>
  <si>
    <t>EA</t>
    <phoneticPr fontId="6" type="noConversion"/>
  </si>
  <si>
    <t>H:100mm, T:10mm, 영문</t>
    <phoneticPr fontId="6" type="noConversion"/>
  </si>
  <si>
    <t>5-2</t>
    <phoneticPr fontId="6" type="noConversion"/>
  </si>
  <si>
    <t>[GR-02]</t>
    <phoneticPr fontId="6" type="noConversion"/>
  </si>
  <si>
    <t>H:100mm, T:10mm, 한글</t>
    <phoneticPr fontId="6" type="noConversion"/>
  </si>
  <si>
    <t>H:80mm, T:10mm, 한글</t>
    <phoneticPr fontId="6" type="noConversion"/>
  </si>
  <si>
    <t>H:50mm, T:10mm, 한글</t>
    <phoneticPr fontId="6" type="noConversion"/>
  </si>
  <si>
    <t>5-3</t>
    <phoneticPr fontId="6" type="noConversion"/>
  </si>
  <si>
    <t>[GR-03]</t>
    <phoneticPr fontId="6" type="noConversion"/>
  </si>
  <si>
    <t>H:80mm, T:5mm, 영문</t>
    <phoneticPr fontId="6" type="noConversion"/>
  </si>
  <si>
    <t>5-4</t>
    <phoneticPr fontId="6" type="noConversion"/>
  </si>
  <si>
    <t>[GR-04]</t>
    <phoneticPr fontId="6" type="noConversion"/>
  </si>
  <si>
    <t>H:150mm, T:10mm, 영문</t>
    <phoneticPr fontId="6" type="noConversion"/>
  </si>
  <si>
    <t>5-5</t>
    <phoneticPr fontId="6" type="noConversion"/>
  </si>
  <si>
    <t>[GR-05]</t>
    <phoneticPr fontId="6" type="noConversion"/>
  </si>
  <si>
    <t>5-6</t>
    <phoneticPr fontId="6" type="noConversion"/>
  </si>
  <si>
    <t>[GR-06]</t>
    <phoneticPr fontId="6" type="noConversion"/>
  </si>
  <si>
    <t>H:50mm, T:10mm, 영문</t>
    <phoneticPr fontId="6" type="noConversion"/>
  </si>
  <si>
    <t xml:space="preserve">5자 실학박물관 </t>
    <phoneticPr fontId="6" type="noConversion"/>
  </si>
  <si>
    <t>17자THE MUSEUM OF SILHAK</t>
    <phoneticPr fontId="6" type="noConversion"/>
  </si>
  <si>
    <t>7자</t>
    <phoneticPr fontId="6" type="noConversion"/>
  </si>
  <si>
    <t>15자</t>
    <phoneticPr fontId="6" type="noConversion"/>
  </si>
  <si>
    <t>18자</t>
    <phoneticPr fontId="6" type="noConversion"/>
  </si>
  <si>
    <t>10자</t>
    <phoneticPr fontId="6" type="noConversion"/>
  </si>
  <si>
    <t>3자</t>
    <phoneticPr fontId="6" type="noConversion"/>
  </si>
  <si>
    <t>11자</t>
    <phoneticPr fontId="6" type="noConversion"/>
  </si>
  <si>
    <t xml:space="preserve">6자 </t>
    <phoneticPr fontId="6" type="noConversion"/>
  </si>
  <si>
    <t>[카운터 데스크 외측벽]</t>
    <phoneticPr fontId="6" type="noConversion"/>
  </si>
  <si>
    <t>지정무늬목 루버연출</t>
    <phoneticPr fontId="9" type="noConversion"/>
  </si>
  <si>
    <t>W:300, 띠장 연출</t>
    <phoneticPr fontId="6" type="noConversion"/>
  </si>
  <si>
    <t>(0.35+1.5+5.9+2.5+0.35)</t>
    <phoneticPr fontId="6" type="noConversion"/>
  </si>
  <si>
    <t>[카운터 데스크 외측상판]</t>
    <phoneticPr fontId="6" type="noConversion"/>
  </si>
  <si>
    <t>(0.35+1.5+5.9+2.5+0.35)*H1.1+(0.45+2.04+0.6)*H0.75</t>
    <phoneticPr fontId="6" type="noConversion"/>
  </si>
  <si>
    <t>(0.35+1.5+5.9+2.5+0.35+(0.45+2.04+0.6))*H0.75</t>
    <phoneticPr fontId="6" type="noConversion"/>
  </si>
  <si>
    <t>(1.5+5.9+2.5)*W(0.05+0.35+0.05)</t>
    <phoneticPr fontId="6" type="noConversion"/>
  </si>
  <si>
    <t>(0.35+1.5+5.9+2.5+0.35+(0.45+2.04+0.6))*H0.75-유리장(2*0.5)</t>
    <phoneticPr fontId="6" type="noConversion"/>
  </si>
  <si>
    <t>THK=12mm, 하이막스, 화이트칩</t>
    <phoneticPr fontId="6" type="noConversion"/>
  </si>
  <si>
    <t>[카운터 매립 진열장]</t>
    <phoneticPr fontId="6" type="noConversion"/>
  </si>
  <si>
    <t>2000*350*550, 8T유리장</t>
    <phoneticPr fontId="6" type="noConversion"/>
  </si>
  <si>
    <t>2*0.55</t>
    <phoneticPr fontId="6" type="noConversion"/>
  </si>
  <si>
    <t>(2*0.55)*(2+0.55)*2*0.4</t>
    <phoneticPr fontId="6" type="noConversion"/>
  </si>
  <si>
    <t>[카운터 집기]</t>
    <phoneticPr fontId="6" type="noConversion"/>
  </si>
  <si>
    <t>데스크 및 수납장, 의자</t>
    <phoneticPr fontId="6" type="noConversion"/>
  </si>
  <si>
    <t>카운터 데스크</t>
    <phoneticPr fontId="9" type="noConversion"/>
  </si>
  <si>
    <t>H:750, 내부 수납장포함</t>
    <phoneticPr fontId="6" type="noConversion"/>
  </si>
  <si>
    <t>카운터 의자</t>
    <phoneticPr fontId="9" type="noConversion"/>
  </si>
  <si>
    <t>1.1+4.3+2+1.6</t>
    <phoneticPr fontId="6" type="noConversion"/>
  </si>
  <si>
    <t>[벽부 진열장]</t>
    <phoneticPr fontId="6" type="noConversion"/>
  </si>
  <si>
    <t>FU-01, 5900*2500*1100</t>
    <phoneticPr fontId="6" type="noConversion"/>
  </si>
  <si>
    <t>FU-02, 11900*300*2400</t>
    <phoneticPr fontId="6" type="noConversion"/>
  </si>
  <si>
    <t>[배면판]</t>
    <phoneticPr fontId="6" type="noConversion"/>
  </si>
  <si>
    <t>11.9*2.4</t>
    <phoneticPr fontId="6" type="noConversion"/>
  </si>
  <si>
    <t>몰딩,프레임, W=400미만</t>
    <phoneticPr fontId="6" type="noConversion"/>
  </si>
  <si>
    <t>넓은면, W=400이상</t>
    <phoneticPr fontId="6" type="noConversion"/>
  </si>
  <si>
    <t>[수직판]</t>
    <phoneticPr fontId="6" type="noConversion"/>
  </si>
  <si>
    <t>(0.3*2.4)*((5*5SET)+2)</t>
    <phoneticPr fontId="6" type="noConversion"/>
  </si>
  <si>
    <t>((0.3+0.02+0.3)*2.4)*((5*5SET)+2)</t>
    <phoneticPr fontId="6" type="noConversion"/>
  </si>
  <si>
    <t>[수평판]</t>
    <phoneticPr fontId="6" type="noConversion"/>
  </si>
  <si>
    <t>(0.3*11.9)*6LINE</t>
    <phoneticPr fontId="6" type="noConversion"/>
  </si>
  <si>
    <t>((0.3+0.02+0.3)*11.9)*6LINE</t>
    <phoneticPr fontId="6" type="noConversion"/>
  </si>
  <si>
    <t>[BASE]</t>
    <phoneticPr fontId="6" type="noConversion"/>
  </si>
  <si>
    <t>11.9*4</t>
    <phoneticPr fontId="6" type="noConversion"/>
  </si>
  <si>
    <t>11.9*0.08</t>
    <phoneticPr fontId="6" type="noConversion"/>
  </si>
  <si>
    <t>4-3</t>
    <phoneticPr fontId="6" type="noConversion"/>
  </si>
  <si>
    <t>[OPEN 진열장]</t>
    <phoneticPr fontId="6" type="noConversion"/>
  </si>
  <si>
    <t>FU-03, 2895*400*2400</t>
    <phoneticPr fontId="6" type="noConversion"/>
  </si>
  <si>
    <t>[DOOR]</t>
    <phoneticPr fontId="6" type="noConversion"/>
  </si>
  <si>
    <t>여닫이 DOOR설치</t>
    <phoneticPr fontId="6" type="noConversion"/>
  </si>
  <si>
    <t>경첩 및 기타철물 포함</t>
    <phoneticPr fontId="6" type="noConversion"/>
  </si>
  <si>
    <t>개소</t>
    <phoneticPr fontId="6" type="noConversion"/>
  </si>
  <si>
    <t>5*5SET+2</t>
    <phoneticPr fontId="6" type="noConversion"/>
  </si>
  <si>
    <t>(0.4*2.4)*(6*2SET)</t>
    <phoneticPr fontId="6" type="noConversion"/>
  </si>
  <si>
    <t>((0.4+0.02)*2*2.4)*(6*2SET)</t>
    <phoneticPr fontId="6" type="noConversion"/>
  </si>
  <si>
    <t>(0.4*2.9)*6LINE</t>
    <phoneticPr fontId="6" type="noConversion"/>
  </si>
  <si>
    <t>((0.4+0.02)*2*2.9)*6LINE</t>
    <phoneticPr fontId="6" type="noConversion"/>
  </si>
  <si>
    <t>2.9*4</t>
    <phoneticPr fontId="6" type="noConversion"/>
  </si>
  <si>
    <t>2.9*0.08*2</t>
    <phoneticPr fontId="6" type="noConversion"/>
  </si>
  <si>
    <t>((0.49*(0.41+0.59))+(0.38*0.89)+(0.25*0.75))*2양면*2SET</t>
    <phoneticPr fontId="6" type="noConversion"/>
  </si>
  <si>
    <t>(((0.53*(0.38+0.45))+(0.85*0.45)+(0.6*(0.62+0.3)))*5SET+(0.59*(0.38+0.43)))*2</t>
    <phoneticPr fontId="6" type="noConversion"/>
  </si>
  <si>
    <t>((0.53*(0.38+0.45))+(0.85*0.45)+(0.6*(0.62+0.3)))*5SET+(0.59*(0.38+0.43))</t>
    <phoneticPr fontId="6" type="noConversion"/>
  </si>
  <si>
    <t>(((0.49*(0.41+0.59))+(0.38*0.89)+(0.25*0.75))*2양면*2SET)*2</t>
    <phoneticPr fontId="6" type="noConversion"/>
  </si>
  <si>
    <t>4*2양면*2SET</t>
    <phoneticPr fontId="6" type="noConversion"/>
  </si>
  <si>
    <t>4-4</t>
    <phoneticPr fontId="6" type="noConversion"/>
  </si>
  <si>
    <t>[수납 테이블]</t>
    <phoneticPr fontId="6" type="noConversion"/>
  </si>
  <si>
    <t>FU-04, 5195*600*1050</t>
    <phoneticPr fontId="6" type="noConversion"/>
  </si>
  <si>
    <t>수납 테이블(제작사양)</t>
    <phoneticPr fontId="6" type="noConversion"/>
  </si>
  <si>
    <t>5195*600*1050, 하이그로시도장마감</t>
    <phoneticPr fontId="6" type="noConversion"/>
  </si>
  <si>
    <t>SET</t>
    <phoneticPr fontId="6" type="noConversion"/>
  </si>
  <si>
    <t>1SET</t>
    <phoneticPr fontId="6" type="noConversion"/>
  </si>
  <si>
    <t>4-5</t>
    <phoneticPr fontId="6" type="noConversion"/>
  </si>
  <si>
    <t>2545*600*1000, 하이그로시도장마감</t>
    <phoneticPr fontId="6" type="noConversion"/>
  </si>
  <si>
    <t>4-6</t>
    <phoneticPr fontId="6" type="noConversion"/>
  </si>
  <si>
    <t>FU-05, 2545*2300*1000</t>
    <phoneticPr fontId="6" type="noConversion"/>
  </si>
  <si>
    <t>1700*600*1000, 하이그로시도장마감</t>
    <phoneticPr fontId="6" type="noConversion"/>
  </si>
  <si>
    <t>[쇼파]</t>
    <phoneticPr fontId="6" type="noConversion"/>
  </si>
  <si>
    <t>지정 쇼파</t>
    <phoneticPr fontId="6" type="noConversion"/>
  </si>
  <si>
    <t>1800*700*808, 지정사양</t>
    <phoneticPr fontId="6" type="noConversion"/>
  </si>
  <si>
    <t>4-7</t>
    <phoneticPr fontId="6" type="noConversion"/>
  </si>
  <si>
    <t>[테이블]</t>
    <phoneticPr fontId="6" type="noConversion"/>
  </si>
  <si>
    <t>6SET</t>
    <phoneticPr fontId="6" type="noConversion"/>
  </si>
  <si>
    <t>FU-07, 1500*700*700*2SET</t>
    <phoneticPr fontId="6" type="noConversion"/>
  </si>
  <si>
    <t>이동식 테이블(제작사양)</t>
    <phoneticPr fontId="6" type="noConversion"/>
  </si>
  <si>
    <t>1500*700*700, 하이그로시도장마감</t>
    <phoneticPr fontId="6" type="noConversion"/>
  </si>
  <si>
    <t>2SET</t>
    <phoneticPr fontId="6" type="noConversion"/>
  </si>
  <si>
    <t>FU-06, 1800*700*808*6SET</t>
    <phoneticPr fontId="6" type="noConversion"/>
  </si>
  <si>
    <t>4-8</t>
    <phoneticPr fontId="6" type="noConversion"/>
  </si>
  <si>
    <t>[락커 (수납장15)]</t>
    <phoneticPr fontId="6" type="noConversion"/>
  </si>
  <si>
    <t>FU-08, 1660*960*300</t>
    <phoneticPr fontId="6" type="noConversion"/>
  </si>
  <si>
    <t>300*300*300내외, 넘버락</t>
    <phoneticPr fontId="9" type="noConversion"/>
  </si>
  <si>
    <t>모듈형 목재락커장</t>
    <phoneticPr fontId="9" type="noConversion"/>
  </si>
  <si>
    <t>3*5</t>
    <phoneticPr fontId="6" type="noConversion"/>
  </si>
  <si>
    <t>4-9</t>
    <phoneticPr fontId="6" type="noConversion"/>
  </si>
  <si>
    <t>[휴지통]</t>
    <phoneticPr fontId="6" type="noConversion"/>
  </si>
  <si>
    <t>휴지통</t>
    <phoneticPr fontId="9" type="noConversion"/>
  </si>
  <si>
    <t>지정사양</t>
    <phoneticPr fontId="9" type="noConversion"/>
  </si>
  <si>
    <t>1EA</t>
    <phoneticPr fontId="6" type="noConversion"/>
  </si>
  <si>
    <t>FU-10, 지정사양</t>
    <phoneticPr fontId="6" type="noConversion"/>
  </si>
  <si>
    <t>4-10</t>
    <phoneticPr fontId="6" type="noConversion"/>
  </si>
  <si>
    <t>4-11</t>
    <phoneticPr fontId="6" type="noConversion"/>
  </si>
  <si>
    <t>FU-09, 기성품</t>
    <phoneticPr fontId="6" type="noConversion"/>
  </si>
  <si>
    <t>FU-11, 기성품</t>
    <phoneticPr fontId="6" type="noConversion"/>
  </si>
  <si>
    <t>[정수기]</t>
    <phoneticPr fontId="6" type="noConversion"/>
  </si>
  <si>
    <t>FU-12, 기성품</t>
    <phoneticPr fontId="6" type="noConversion"/>
  </si>
  <si>
    <t>테이블</t>
    <phoneticPr fontId="9" type="noConversion"/>
  </si>
  <si>
    <t>정수기</t>
    <phoneticPr fontId="9" type="noConversion"/>
  </si>
  <si>
    <t>지정사양, 렌탈(1년사용료기준)</t>
    <phoneticPr fontId="9" type="noConversion"/>
  </si>
  <si>
    <t>건명 : 실학박물관 로비 리뉴얼 공사</t>
  </si>
  <si>
    <t>넓은면, W=400이상</t>
    <phoneticPr fontId="6" type="noConversion"/>
  </si>
  <si>
    <t>12.5*H3*1.5보강포함</t>
    <phoneticPr fontId="6" type="noConversion"/>
  </si>
  <si>
    <t>※ 집기/하우징 제작을 위한 소요 공수 추가할증 : 벽틀대비 120% 적용</t>
    <phoneticPr fontId="9" type="noConversion"/>
  </si>
  <si>
    <t>※ ㎡당 산출기준 : 현장기준 높이 3m의 벽체를 3m설치하였을 때 평균적 용량</t>
    <phoneticPr fontId="6" type="noConversion"/>
  </si>
  <si>
    <t>* ((3M*7개)+(3M*8개))/(3M*3M) 기준</t>
    <phoneticPr fontId="10" type="noConversion"/>
  </si>
  <si>
    <t>3개월</t>
    <phoneticPr fontId="6" type="noConversion"/>
  </si>
  <si>
    <t>3개월</t>
    <phoneticPr fontId="6" type="noConversion"/>
  </si>
  <si>
    <t>비계공</t>
    <phoneticPr fontId="6" type="noConversion"/>
  </si>
  <si>
    <t>인</t>
    <phoneticPr fontId="6" type="noConversion"/>
  </si>
  <si>
    <t>※ 품셈상 필름 계상수량은 1.5㎡ 기준이지만 본품에선 1.3㎡를 계상함</t>
    <phoneticPr fontId="6" type="noConversion"/>
  </si>
  <si>
    <t>※ 품셈상 필름 계상수량은 1.2㎡ 기준이지만 본품에선 1.1㎡를 계상함</t>
    <phoneticPr fontId="6" type="noConversion"/>
  </si>
  <si>
    <t>반영율</t>
    <phoneticPr fontId="1" type="noConversion"/>
  </si>
  <si>
    <t>조정율</t>
    <phoneticPr fontId="1" type="noConversion"/>
  </si>
  <si>
    <t>원가계산서</t>
    <phoneticPr fontId="1" type="noConversion"/>
  </si>
  <si>
    <t>기준율</t>
    <phoneticPr fontId="1" type="noConversion"/>
  </si>
  <si>
    <t>금속</t>
    <phoneticPr fontId="1" type="noConversion"/>
  </si>
  <si>
    <t>도장</t>
    <phoneticPr fontId="1" type="noConversion"/>
  </si>
  <si>
    <t>유리</t>
    <phoneticPr fontId="1" type="noConversion"/>
  </si>
  <si>
    <t>전기</t>
    <phoneticPr fontId="1" type="noConversion"/>
  </si>
  <si>
    <t>가구</t>
    <phoneticPr fontId="1" type="noConversion"/>
  </si>
  <si>
    <t>패널</t>
    <phoneticPr fontId="1" type="noConversion"/>
  </si>
  <si>
    <t>철거</t>
    <phoneticPr fontId="1" type="noConversion"/>
  </si>
  <si>
    <t>3-1</t>
    <phoneticPr fontId="6" type="noConversion"/>
  </si>
  <si>
    <t>3-2</t>
    <phoneticPr fontId="6" type="noConversion"/>
  </si>
  <si>
    <t>3-3</t>
    <phoneticPr fontId="6" type="noConversion"/>
  </si>
  <si>
    <t>벽체 철거</t>
  </si>
  <si>
    <t>판재류 철거</t>
  </si>
  <si>
    <t>건축목공</t>
    <phoneticPr fontId="6" type="noConversion"/>
  </si>
  <si>
    <t>인</t>
    <phoneticPr fontId="6" type="noConversion"/>
  </si>
  <si>
    <t>보통인부</t>
    <phoneticPr fontId="6" type="noConversion"/>
  </si>
  <si>
    <t>폐자재 반출 및 상차</t>
    <phoneticPr fontId="6" type="noConversion"/>
  </si>
  <si>
    <t>공구손료</t>
    <phoneticPr fontId="6" type="noConversion"/>
  </si>
  <si>
    <t>노무비의 5%</t>
    <phoneticPr fontId="6" type="noConversion"/>
  </si>
  <si>
    <t>식</t>
    <phoneticPr fontId="6" type="noConversion"/>
  </si>
  <si>
    <t>※ 건축표준품셈 : 18-1 해체 철거공사 2. 건축물 구조체별 철거 / 벽체 / 목조,간막이 준용</t>
    <phoneticPr fontId="31" type="noConversion"/>
  </si>
  <si>
    <t>※ 해체재를 재사용하지 아니하여 기준품의 60%를 적용함</t>
    <phoneticPr fontId="31" type="noConversion"/>
  </si>
  <si>
    <t>※ 실내건축표준품셈 : 철거-16 경량 스터드 철거</t>
    <phoneticPr fontId="31" type="noConversion"/>
  </si>
  <si>
    <t>※ 건축표준품셈 : 18-1 해체 철거공사 2. 건축물 구조체별 철거 / 벽체 / 텍스, 합판 준용</t>
    <phoneticPr fontId="31" type="noConversion"/>
  </si>
  <si>
    <t>구조부 철거</t>
    <phoneticPr fontId="6" type="noConversion"/>
  </si>
  <si>
    <t>2-1</t>
    <phoneticPr fontId="6" type="noConversion"/>
  </si>
  <si>
    <t>데스크 및 뒷벽</t>
    <phoneticPr fontId="6" type="noConversion"/>
  </si>
  <si>
    <t>2-2</t>
    <phoneticPr fontId="6" type="noConversion"/>
  </si>
  <si>
    <t>[로비 전면 벽체철거]</t>
    <phoneticPr fontId="6" type="noConversion"/>
  </si>
  <si>
    <t>6*H2.5</t>
    <phoneticPr fontId="6" type="noConversion"/>
  </si>
  <si>
    <t>6*H2.5*2</t>
    <phoneticPr fontId="6" type="noConversion"/>
  </si>
  <si>
    <t>인포데스크 및 수납장철거</t>
    <phoneticPr fontId="6" type="noConversion"/>
  </si>
  <si>
    <t>SET</t>
    <phoneticPr fontId="6" type="noConversion"/>
  </si>
  <si>
    <t>2-3</t>
    <phoneticPr fontId="6" type="noConversion"/>
  </si>
  <si>
    <t>[기타 집기류 철거]</t>
    <phoneticPr fontId="6" type="noConversion"/>
  </si>
  <si>
    <t>[SHOP/LIBRARY 월]</t>
    <phoneticPr fontId="6" type="noConversion"/>
  </si>
  <si>
    <t>SHOP/LIBRARY 집기외</t>
    <phoneticPr fontId="6" type="noConversion"/>
  </si>
  <si>
    <t>기존 집기류 철거</t>
    <phoneticPr fontId="6" type="noConversion"/>
  </si>
  <si>
    <t>SHOP/LIBRARY 집기외</t>
    <phoneticPr fontId="6" type="noConversion"/>
  </si>
  <si>
    <t>※ 실내건축표준품셈 : 철거-31 합판 또는 판재류 철거</t>
    <phoneticPr fontId="31" type="noConversion"/>
  </si>
  <si>
    <t>[기존인포 부스철거]</t>
    <phoneticPr fontId="6" type="noConversion"/>
  </si>
  <si>
    <t>발생폐기물(공사영역(23.5*14.95)*0.0088)+철거폐기물(2.5TON*1대)-0.6</t>
    <phoneticPr fontId="6" type="noConversion"/>
  </si>
  <si>
    <t>적용단가</t>
    <phoneticPr fontId="6" type="noConversion"/>
  </si>
  <si>
    <t>영상장비</t>
    <phoneticPr fontId="1" type="noConversion"/>
  </si>
  <si>
    <t>영상장비</t>
    <phoneticPr fontId="1" type="noConversion"/>
  </si>
  <si>
    <t>DID MULTI MONITOR</t>
  </si>
  <si>
    <t>DID MULTI MONITOR</t>
    <phoneticPr fontId="6" type="noConversion"/>
  </si>
  <si>
    <t>55" Full-HD,Silm Bezel</t>
  </si>
  <si>
    <t>55" Full-HD,Silm Bezel</t>
    <phoneticPr fontId="6" type="noConversion"/>
  </si>
  <si>
    <t>EA</t>
    <phoneticPr fontId="6" type="noConversion"/>
  </si>
  <si>
    <t>MONITOR BRACKET</t>
  </si>
  <si>
    <t>벽부형, 대형</t>
  </si>
  <si>
    <t>CONTROL COMPUTER</t>
  </si>
  <si>
    <t>i7</t>
  </si>
  <si>
    <t>POWER AMP</t>
  </si>
  <si>
    <t>70W+70W</t>
  </si>
  <si>
    <t>PC SPEAKER</t>
  </si>
  <si>
    <t>Powered</t>
  </si>
  <si>
    <t>※ 정보통신표준품셈 7-11-1 방송국 설비 (Video Monitor 41" 이상)</t>
    <phoneticPr fontId="6" type="noConversion"/>
  </si>
  <si>
    <t>EA</t>
    <phoneticPr fontId="6" type="noConversion"/>
  </si>
  <si>
    <t>통신관련산업기사</t>
    <phoneticPr fontId="6" type="noConversion"/>
  </si>
  <si>
    <t>인</t>
    <phoneticPr fontId="6" type="noConversion"/>
  </si>
  <si>
    <t>설치</t>
    <phoneticPr fontId="6" type="noConversion"/>
  </si>
  <si>
    <t>통신설비공</t>
    <phoneticPr fontId="6" type="noConversion"/>
  </si>
  <si>
    <t>※ 정보통신표준품셈 7-11-5 방송 및 음향영상설비 부대공사 (행거(Hanger) 고정)</t>
    <phoneticPr fontId="6" type="noConversion"/>
  </si>
  <si>
    <t>플랜트기계설치공</t>
    <phoneticPr fontId="6" type="noConversion"/>
  </si>
  <si>
    <t>보통인부</t>
    <phoneticPr fontId="6" type="noConversion"/>
  </si>
  <si>
    <t>※ 정보통신표준품셈 7-11-1 방송국 설비 (Power Amp 300W 미만)</t>
    <phoneticPr fontId="6" type="noConversion"/>
  </si>
  <si>
    <t>통신관련기사</t>
    <phoneticPr fontId="6" type="noConversion"/>
  </si>
  <si>
    <t>조정</t>
    <phoneticPr fontId="6" type="noConversion"/>
  </si>
  <si>
    <t>조정</t>
    <phoneticPr fontId="6" type="noConversion"/>
  </si>
  <si>
    <t>시험 및 측정</t>
    <phoneticPr fontId="6" type="noConversion"/>
  </si>
  <si>
    <t>※ 정보통신표준품셈 8-1-1 네트워크 설비(공통) (단말기(PC)설치)</t>
    <phoneticPr fontId="6" type="noConversion"/>
  </si>
  <si>
    <t>93(하)</t>
    <phoneticPr fontId="1" type="noConversion"/>
  </si>
  <si>
    <t>917(2)</t>
    <phoneticPr fontId="1" type="noConversion"/>
  </si>
  <si>
    <t>4대</t>
    <phoneticPr fontId="6" type="noConversion"/>
  </si>
  <si>
    <t>4EA</t>
    <phoneticPr fontId="6" type="noConversion"/>
  </si>
  <si>
    <t>1대</t>
    <phoneticPr fontId="6" type="noConversion"/>
  </si>
  <si>
    <t>2EA</t>
    <phoneticPr fontId="6" type="noConversion"/>
  </si>
  <si>
    <t>[메인월 멀티비젼 시스템]</t>
    <phoneticPr fontId="6" type="noConversion"/>
  </si>
  <si>
    <t>55" DID * 4대</t>
    <phoneticPr fontId="6" type="noConversion"/>
  </si>
  <si>
    <t>순차전원공급기</t>
  </si>
  <si>
    <t>8CH, NETWORK</t>
  </si>
  <si>
    <t>Sequence power switcher</t>
  </si>
  <si>
    <t>BUTTON CONTROLLER</t>
  </si>
  <si>
    <t>제작</t>
  </si>
  <si>
    <t>8CH</t>
  </si>
  <si>
    <t>거래1139</t>
  </si>
  <si>
    <t>※ 정보통신표준품셈 7-11-2 구내방송 설비 (Power Distributor)</t>
    <phoneticPr fontId="6" type="noConversion"/>
  </si>
  <si>
    <t>※ 정보통신표준품셈 7-11-1 방송국 설비 (Multi Remote Controller(A/V통합제어) 접점 Module)</t>
    <phoneticPr fontId="6" type="noConversion"/>
  </si>
  <si>
    <t>S/W시험사</t>
    <phoneticPr fontId="6" type="noConversion"/>
  </si>
  <si>
    <t>시험 및 점검</t>
    <phoneticPr fontId="6" type="noConversion"/>
  </si>
  <si>
    <t>H/W시험사</t>
    <phoneticPr fontId="6" type="noConversion"/>
  </si>
  <si>
    <t>※ 정보통신표준품셈 9-2-1-2 통합관제센터 ((3)LED-DLP 큐브 및 기타설비 KVM Switch)</t>
    <phoneticPr fontId="6" type="noConversion"/>
  </si>
  <si>
    <t>건명 : 실학박물관 중앙홀 환경개선공사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</si>
</sst>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76" formatCode="_-* #,##0_-;\-* #,##0_-;_-* &quot;-&quot;??_-;_-@_-"/>
    <numFmt numFmtId="177" formatCode="#,##0.00_ "/>
    <numFmt numFmtId="178" formatCode="#,##0_ "/>
    <numFmt numFmtId="179" formatCode="0.0"/>
    <numFmt numFmtId="180" formatCode="0.000"/>
    <numFmt numFmtId="181" formatCode="_-* #,##0.00_-;\-* #,##0.00_-;_-* &quot;-&quot;_-;_-@_-"/>
    <numFmt numFmtId="182" formatCode="0.0_ "/>
    <numFmt numFmtId="183" formatCode="0.0%"/>
    <numFmt numFmtId="184" formatCode="0.000%"/>
    <numFmt numFmtId="185" formatCode="0.00_);[Red]\(0.00\)"/>
    <numFmt numFmtId="186" formatCode="0.00_ "/>
    <numFmt numFmtId="187" formatCode="0.0_);[Red]\(0.0\)"/>
    <numFmt numFmtId="188" formatCode="0_ "/>
    <numFmt numFmtId="189" formatCode="0.000_ "/>
    <numFmt numFmtId="190" formatCode="#,##0.0_ "/>
    <numFmt numFmtId="191" formatCode="0_);[Red]\(0\)"/>
    <numFmt numFmtId="192" formatCode="_ * #,##0_ ;_ * \-#,##0_ ;_ * &quot;-&quot;_ ;_ @_ "/>
    <numFmt numFmtId="193" formatCode="_-* #,##0.000_-;\-* #,##0.000_-;_-* &quot;-&quot;_-;_-@_-"/>
    <numFmt numFmtId="194" formatCode="_-* #,##0.0000_-;\-* #,##0.0000_-;_-* &quot;-&quot;_-;_-@_-"/>
    <numFmt numFmtId="195" formatCode="#,##0_ ;[Red]\-#,##0\ "/>
    <numFmt numFmtId="196" formatCode="#,##0_);[Red]\(#,##0\)"/>
  </numFmts>
  <fonts count="32" x14ac:knownFonts="1">
    <font>
      <sz val="10"/>
      <color theme="1"/>
      <name val="바탕체"/>
      <family val="2"/>
      <charset val="129"/>
    </font>
    <font>
      <sz val="8"/>
      <name val="바탕체"/>
      <family val="2"/>
      <charset val="129"/>
    </font>
    <font>
      <sz val="20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9"/>
      <color theme="1"/>
      <name val="바탕체"/>
      <family val="1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9"/>
      <name val="바탕체"/>
      <family val="1"/>
      <charset val="129"/>
    </font>
    <font>
      <sz val="20"/>
      <name val="바탕체"/>
      <family val="1"/>
      <charset val="129"/>
    </font>
    <font>
      <sz val="8"/>
      <name val="맑은 고딕"/>
      <family val="3"/>
      <charset val="129"/>
    </font>
    <font>
      <sz val="8"/>
      <name val="돋움체"/>
      <family val="3"/>
      <charset val="129"/>
    </font>
    <font>
      <sz val="9"/>
      <color rgb="FFFF0000"/>
      <name val="바탕체"/>
      <family val="1"/>
      <charset val="129"/>
    </font>
    <font>
      <sz val="8"/>
      <name val="바탕체"/>
      <family val="1"/>
      <charset val="129"/>
    </font>
    <font>
      <b/>
      <sz val="9"/>
      <name val="바탕체"/>
      <family val="1"/>
      <charset val="129"/>
    </font>
    <font>
      <sz val="13"/>
      <name val="바탕체"/>
      <family val="1"/>
      <charset val="129"/>
    </font>
    <font>
      <sz val="10"/>
      <color rgb="FFFF0000"/>
      <name val="바탕체"/>
      <family val="1"/>
      <charset val="129"/>
    </font>
    <font>
      <sz val="10"/>
      <color indexed="8"/>
      <name val="바탕체"/>
      <family val="1"/>
      <charset val="129"/>
    </font>
    <font>
      <b/>
      <sz val="10"/>
      <name val="바탕체"/>
      <family val="1"/>
      <charset val="129"/>
    </font>
    <font>
      <sz val="11"/>
      <color indexed="8"/>
      <name val="바탕체"/>
      <family val="1"/>
      <charset val="129"/>
    </font>
    <font>
      <sz val="20"/>
      <color indexed="8"/>
      <name val="바탕체"/>
      <family val="1"/>
      <charset val="129"/>
    </font>
    <font>
      <sz val="10"/>
      <color theme="1"/>
      <name val="바탕체"/>
      <family val="2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b/>
      <sz val="10"/>
      <color theme="5" tint="-0.249977111117893"/>
      <name val="바탕체"/>
      <family val="1"/>
      <charset val="129"/>
    </font>
    <font>
      <sz val="10"/>
      <color theme="5" tint="-0.249977111117893"/>
      <name val="바탕체"/>
      <family val="1"/>
      <charset val="129"/>
    </font>
    <font>
      <b/>
      <sz val="9"/>
      <color theme="5" tint="-0.249977111117893"/>
      <name val="바탕체"/>
      <family val="1"/>
      <charset val="129"/>
    </font>
    <font>
      <sz val="9"/>
      <color theme="5" tint="-0.249977111117893"/>
      <name val="바탕체"/>
      <family val="1"/>
      <charset val="129"/>
    </font>
    <font>
      <b/>
      <sz val="10"/>
      <color rgb="FFFF0000"/>
      <name val="바탕체"/>
      <family val="1"/>
      <charset val="129"/>
    </font>
    <font>
      <b/>
      <sz val="10"/>
      <color rgb="FF0070C0"/>
      <name val="바탕체"/>
      <family val="1"/>
      <charset val="129"/>
    </font>
    <font>
      <b/>
      <sz val="10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/>
    <xf numFmtId="0" fontId="22" fillId="0" borderId="0"/>
    <xf numFmtId="0" fontId="23" fillId="0" borderId="0"/>
  </cellStyleXfs>
  <cellXfs count="961">
    <xf numFmtId="0" fontId="0" fillId="0" borderId="0" xfId="0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>
      <alignment vertical="center"/>
    </xf>
    <xf numFmtId="41" fontId="4" fillId="0" borderId="8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41" fontId="4" fillId="0" borderId="1" xfId="0" applyNumberFormat="1" applyFont="1" applyBorder="1">
      <alignment vertical="center"/>
    </xf>
    <xf numFmtId="182" fontId="4" fillId="0" borderId="8" xfId="0" applyNumberFormat="1" applyFont="1" applyBorder="1" applyAlignment="1">
      <alignment horizontal="center" vertical="center"/>
    </xf>
    <xf numFmtId="188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3" fillId="0" borderId="13" xfId="0" applyFont="1" applyBorder="1">
      <alignment vertical="center"/>
    </xf>
    <xf numFmtId="41" fontId="4" fillId="0" borderId="10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178" fontId="4" fillId="0" borderId="8" xfId="0" applyNumberFormat="1" applyFont="1" applyBorder="1">
      <alignment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15" xfId="0" applyNumberFormat="1" applyFont="1" applyBorder="1">
      <alignment vertical="center"/>
    </xf>
    <xf numFmtId="190" fontId="4" fillId="0" borderId="8" xfId="0" applyNumberFormat="1" applyFont="1" applyBorder="1" applyAlignment="1">
      <alignment horizontal="center" vertical="center"/>
    </xf>
    <xf numFmtId="186" fontId="5" fillId="0" borderId="6" xfId="0" applyNumberFormat="1" applyFont="1" applyBorder="1" applyAlignment="1">
      <alignment horizontal="center" vertical="center"/>
    </xf>
    <xf numFmtId="186" fontId="5" fillId="0" borderId="8" xfId="0" applyNumberFormat="1" applyFont="1" applyBorder="1" applyAlignment="1">
      <alignment horizontal="center" vertical="center"/>
    </xf>
    <xf numFmtId="186" fontId="5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41" fontId="4" fillId="0" borderId="7" xfId="0" applyNumberFormat="1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184" fontId="4" fillId="0" borderId="8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184" fontId="4" fillId="0" borderId="7" xfId="0" applyNumberFormat="1" applyFont="1" applyBorder="1">
      <alignment vertical="center"/>
    </xf>
    <xf numFmtId="0" fontId="4" fillId="0" borderId="0" xfId="0" applyFont="1" applyAlignment="1">
      <alignment horizontal="centerContinuous" vertical="center"/>
    </xf>
    <xf numFmtId="41" fontId="4" fillId="0" borderId="2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3" fontId="7" fillId="0" borderId="8" xfId="0" applyNumberFormat="1" applyFont="1" applyFill="1" applyBorder="1" applyAlignment="1">
      <alignment vertical="center" shrinkToFit="1"/>
    </xf>
    <xf numFmtId="183" fontId="7" fillId="0" borderId="7" xfId="0" applyNumberFormat="1" applyFont="1" applyFill="1" applyBorder="1" applyAlignment="1">
      <alignment horizontal="center" vertical="center" shrinkToFit="1"/>
    </xf>
    <xf numFmtId="184" fontId="7" fillId="0" borderId="8" xfId="0" applyNumberFormat="1" applyFont="1" applyFill="1" applyBorder="1" applyAlignment="1">
      <alignment vertical="center"/>
    </xf>
    <xf numFmtId="0" fontId="4" fillId="0" borderId="12" xfId="0" applyFont="1" applyBorder="1">
      <alignment vertical="center"/>
    </xf>
    <xf numFmtId="41" fontId="5" fillId="0" borderId="0" xfId="0" applyNumberFormat="1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179" fontId="5" fillId="3" borderId="1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1" fontId="4" fillId="0" borderId="8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>
      <alignment vertical="center"/>
    </xf>
    <xf numFmtId="182" fontId="5" fillId="0" borderId="10" xfId="0" applyNumberFormat="1" applyFont="1" applyBorder="1">
      <alignment vertical="center"/>
    </xf>
    <xf numFmtId="182" fontId="5" fillId="0" borderId="11" xfId="0" applyNumberFormat="1" applyFont="1" applyBorder="1">
      <alignment vertical="center"/>
    </xf>
    <xf numFmtId="41" fontId="7" fillId="0" borderId="1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vertical="center" shrinkToFit="1"/>
    </xf>
    <xf numFmtId="41" fontId="7" fillId="0" borderId="1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86" fontId="5" fillId="0" borderId="1" xfId="0" applyNumberFormat="1" applyFont="1" applyFill="1" applyBorder="1" applyAlignment="1" applyProtection="1">
      <alignment vertical="center" shrinkToFit="1"/>
    </xf>
    <xf numFmtId="186" fontId="5" fillId="0" borderId="11" xfId="0" applyNumberFormat="1" applyFont="1" applyFill="1" applyBorder="1" applyAlignment="1" applyProtection="1">
      <alignment horizontal="left" vertical="center" wrapText="1"/>
    </xf>
    <xf numFmtId="186" fontId="5" fillId="0" borderId="10" xfId="0" applyNumberFormat="1" applyFont="1" applyFill="1" applyBorder="1" applyAlignment="1" applyProtection="1">
      <alignment vertical="center" shrinkToFit="1"/>
    </xf>
    <xf numFmtId="181" fontId="7" fillId="0" borderId="1" xfId="0" applyNumberFormat="1" applyFont="1" applyFill="1" applyBorder="1" applyAlignment="1">
      <alignment horizontal="right" vertical="center" shrinkToFit="1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shrinkToFit="1"/>
    </xf>
    <xf numFmtId="9" fontId="7" fillId="0" borderId="10" xfId="0" applyNumberFormat="1" applyFont="1" applyFill="1" applyBorder="1" applyAlignment="1">
      <alignment vertical="center"/>
    </xf>
    <xf numFmtId="9" fontId="7" fillId="0" borderId="14" xfId="0" applyNumberFormat="1" applyFont="1" applyFill="1" applyBorder="1" applyAlignment="1">
      <alignment vertical="center" shrinkToFit="1"/>
    </xf>
    <xf numFmtId="41" fontId="5" fillId="2" borderId="0" xfId="0" applyNumberFormat="1" applyFont="1" applyFill="1" applyAlignment="1">
      <alignment horizontal="left" vertical="center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7" xfId="0" applyNumberFormat="1" applyFont="1" applyFill="1" applyBorder="1" applyAlignment="1">
      <alignment vertical="center" shrinkToFit="1"/>
    </xf>
    <xf numFmtId="178" fontId="7" fillId="0" borderId="8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vertical="center" shrinkToFit="1"/>
    </xf>
    <xf numFmtId="184" fontId="7" fillId="0" borderId="8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 shrinkToFit="1"/>
    </xf>
    <xf numFmtId="178" fontId="4" fillId="0" borderId="8" xfId="0" applyNumberFormat="1" applyFont="1" applyFill="1" applyBorder="1" applyAlignment="1">
      <alignment vertical="center" shrinkToFit="1"/>
    </xf>
    <xf numFmtId="184" fontId="4" fillId="0" borderId="8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41" fontId="5" fillId="0" borderId="0" xfId="0" applyNumberFormat="1" applyFont="1" applyFill="1" applyBorder="1">
      <alignment vertical="center"/>
    </xf>
    <xf numFmtId="0" fontId="14" fillId="0" borderId="0" xfId="0" applyFont="1" applyFill="1">
      <alignment vertical="center"/>
    </xf>
    <xf numFmtId="0" fontId="5" fillId="0" borderId="0" xfId="0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 indent="5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8" fontId="7" fillId="0" borderId="10" xfId="0" applyNumberFormat="1" applyFont="1" applyFill="1" applyBorder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shrinkToFit="1"/>
    </xf>
    <xf numFmtId="9" fontId="7" fillId="0" borderId="14" xfId="0" applyNumberFormat="1" applyFont="1" applyFill="1" applyBorder="1" applyAlignment="1">
      <alignment horizontal="left" vertical="center" shrinkToFit="1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41" fontId="3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Continuous"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41" fontId="7" fillId="0" borderId="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41" fontId="16" fillId="0" borderId="0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left" vertical="center"/>
    </xf>
    <xf numFmtId="4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/>
    <xf numFmtId="41" fontId="3" fillId="0" borderId="1" xfId="0" applyNumberFormat="1" applyFont="1" applyBorder="1">
      <alignment vertical="center"/>
    </xf>
    <xf numFmtId="191" fontId="16" fillId="0" borderId="1" xfId="0" applyNumberFormat="1" applyFont="1" applyFill="1" applyBorder="1" applyAlignment="1">
      <alignment horizontal="center" vertical="center" wrapText="1"/>
    </xf>
    <xf numFmtId="191" fontId="16" fillId="0" borderId="10" xfId="0" applyNumberFormat="1" applyFont="1" applyFill="1" applyBorder="1" applyAlignment="1">
      <alignment horizontal="center" vertical="center" wrapText="1"/>
    </xf>
    <xf numFmtId="191" fontId="16" fillId="0" borderId="14" xfId="0" applyNumberFormat="1" applyFont="1" applyFill="1" applyBorder="1" applyAlignment="1">
      <alignment horizontal="distributed" vertical="center"/>
    </xf>
    <xf numFmtId="191" fontId="16" fillId="0" borderId="11" xfId="0" applyNumberFormat="1" applyFont="1" applyFill="1" applyBorder="1" applyAlignment="1">
      <alignment horizontal="center" vertical="center"/>
    </xf>
    <xf numFmtId="191" fontId="16" fillId="3" borderId="1" xfId="0" applyNumberFormat="1" applyFont="1" applyFill="1" applyBorder="1" applyAlignment="1">
      <alignment horizontal="center" vertical="center" wrapText="1"/>
    </xf>
    <xf numFmtId="191" fontId="16" fillId="0" borderId="0" xfId="0" applyNumberFormat="1" applyFont="1" applyFill="1" applyBorder="1" applyAlignment="1">
      <alignment horizontal="center" vertical="center"/>
    </xf>
    <xf numFmtId="188" fontId="16" fillId="0" borderId="1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distributed" vertical="center"/>
    </xf>
    <xf numFmtId="41" fontId="18" fillId="0" borderId="1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10" xfId="0" applyNumberFormat="1" applyFont="1" applyFill="1" applyBorder="1" applyAlignment="1">
      <alignment horizontal="center" vertical="center"/>
    </xf>
    <xf numFmtId="41" fontId="16" fillId="0" borderId="11" xfId="0" applyNumberFormat="1" applyFont="1" applyFill="1" applyBorder="1" applyAlignment="1">
      <alignment horizontal="center" vertical="center"/>
    </xf>
    <xf numFmtId="41" fontId="16" fillId="0" borderId="4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 wrapText="1"/>
    </xf>
    <xf numFmtId="41" fontId="16" fillId="0" borderId="1" xfId="0" applyNumberFormat="1" applyFont="1" applyFill="1" applyBorder="1" applyAlignment="1">
      <alignment horizontal="center" vertical="center" wrapText="1"/>
    </xf>
    <xf numFmtId="41" fontId="1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/>
    </xf>
    <xf numFmtId="41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>
      <alignment vertical="center"/>
    </xf>
    <xf numFmtId="41" fontId="3" fillId="0" borderId="10" xfId="0" applyNumberFormat="1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distributed" vertical="center" indent="1"/>
    </xf>
    <xf numFmtId="187" fontId="3" fillId="0" borderId="2" xfId="0" applyNumberFormat="1" applyFont="1" applyBorder="1" applyAlignment="1">
      <alignment horizontal="centerContinuous" vertical="center"/>
    </xf>
    <xf numFmtId="185" fontId="3" fillId="0" borderId="2" xfId="0" applyNumberFormat="1" applyFont="1" applyBorder="1" applyAlignment="1">
      <alignment horizontal="center" vertical="center"/>
    </xf>
    <xf numFmtId="186" fontId="3" fillId="0" borderId="3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 indent="1"/>
    </xf>
    <xf numFmtId="187" fontId="3" fillId="0" borderId="15" xfId="0" applyNumberFormat="1" applyFont="1" applyBorder="1" applyAlignment="1">
      <alignment horizontal="centerContinuous" vertical="center"/>
    </xf>
    <xf numFmtId="185" fontId="3" fillId="0" borderId="15" xfId="0" applyNumberFormat="1" applyFont="1" applyBorder="1" applyAlignment="1">
      <alignment horizontal="center" vertical="center"/>
    </xf>
    <xf numFmtId="186" fontId="3" fillId="0" borderId="9" xfId="0" applyNumberFormat="1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Continuous" vertical="center"/>
    </xf>
    <xf numFmtId="187" fontId="3" fillId="0" borderId="4" xfId="0" applyNumberFormat="1" applyFont="1" applyBorder="1" applyAlignment="1">
      <alignment horizontal="centerContinuous" vertical="center"/>
    </xf>
    <xf numFmtId="179" fontId="3" fillId="0" borderId="0" xfId="0" applyNumberFormat="1" applyFont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185" fontId="3" fillId="0" borderId="10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distributed" vertical="center"/>
    </xf>
    <xf numFmtId="186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Continuous" vertical="center"/>
    </xf>
    <xf numFmtId="187" fontId="3" fillId="0" borderId="10" xfId="0" applyNumberFormat="1" applyFont="1" applyFill="1" applyBorder="1" applyAlignment="1">
      <alignment horizontal="centerContinuous" vertical="center"/>
    </xf>
    <xf numFmtId="186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0" fontId="3" fillId="0" borderId="2" xfId="0" applyNumberFormat="1" applyFont="1" applyBorder="1" applyAlignment="1">
      <alignment horizontal="center" vertical="center"/>
    </xf>
    <xf numFmtId="185" fontId="3" fillId="0" borderId="6" xfId="0" applyNumberFormat="1" applyFont="1" applyBorder="1" applyAlignment="1">
      <alignment horizontal="center" vertical="center"/>
    </xf>
    <xf numFmtId="186" fontId="3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40" fontId="3" fillId="0" borderId="15" xfId="0" applyNumberFormat="1" applyFont="1" applyBorder="1" applyAlignment="1">
      <alignment horizontal="center" vertical="center"/>
    </xf>
    <xf numFmtId="185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9" fontId="3" fillId="0" borderId="9" xfId="0" applyNumberFormat="1" applyFont="1" applyBorder="1" applyAlignment="1">
      <alignment horizontal="center" vertical="center"/>
    </xf>
    <xf numFmtId="40" fontId="3" fillId="0" borderId="4" xfId="0" applyNumberFormat="1" applyFont="1" applyBorder="1" applyAlignment="1">
      <alignment horizontal="center" vertical="center"/>
    </xf>
    <xf numFmtId="185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6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40" fontId="3" fillId="0" borderId="10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185" fontId="3" fillId="0" borderId="1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1" xfId="0" applyFont="1" applyFill="1" applyBorder="1">
      <alignment vertical="center"/>
    </xf>
    <xf numFmtId="0" fontId="3" fillId="0" borderId="8" xfId="0" applyFont="1" applyBorder="1">
      <alignment vertical="center"/>
    </xf>
    <xf numFmtId="41" fontId="3" fillId="0" borderId="8" xfId="0" applyNumberFormat="1" applyFont="1" applyBorder="1">
      <alignment vertical="center"/>
    </xf>
    <xf numFmtId="41" fontId="3" fillId="0" borderId="8" xfId="0" applyNumberFormat="1" applyFont="1" applyBorder="1" applyAlignment="1">
      <alignment horizontal="center" vertical="center"/>
    </xf>
    <xf numFmtId="176" fontId="3" fillId="0" borderId="15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41" fontId="3" fillId="0" borderId="15" xfId="0" applyNumberFormat="1" applyFont="1" applyBorder="1">
      <alignment vertical="center"/>
    </xf>
    <xf numFmtId="41" fontId="3" fillId="0" borderId="9" xfId="0" applyNumberFormat="1" applyFont="1" applyBorder="1">
      <alignment vertical="center"/>
    </xf>
    <xf numFmtId="2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7" xfId="0" applyFont="1" applyBorder="1">
      <alignment vertical="center"/>
    </xf>
    <xf numFmtId="41" fontId="3" fillId="0" borderId="14" xfId="0" applyNumberFormat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distributed" vertical="center" indent="3"/>
    </xf>
    <xf numFmtId="49" fontId="3" fillId="0" borderId="3" xfId="0" applyNumberFormat="1" applyFont="1" applyBorder="1" applyAlignment="1">
      <alignment horizontal="distributed" vertical="center" indent="3"/>
    </xf>
    <xf numFmtId="0" fontId="3" fillId="0" borderId="2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distributed" vertical="center" indent="3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1" fontId="3" fillId="0" borderId="4" xfId="0" applyNumberFormat="1" applyFont="1" applyBorder="1">
      <alignment vertical="center"/>
    </xf>
    <xf numFmtId="41" fontId="3" fillId="0" borderId="5" xfId="0" applyNumberFormat="1" applyFont="1" applyBorder="1">
      <alignment vertical="center"/>
    </xf>
    <xf numFmtId="41" fontId="3" fillId="0" borderId="13" xfId="0" applyNumberFormat="1" applyFont="1" applyBorder="1">
      <alignment vertical="center"/>
    </xf>
    <xf numFmtId="41" fontId="3" fillId="0" borderId="1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>
      <alignment vertical="center"/>
    </xf>
    <xf numFmtId="189" fontId="3" fillId="0" borderId="8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78" fontId="3" fillId="0" borderId="15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7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14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182" fontId="3" fillId="0" borderId="15" xfId="0" applyNumberFormat="1" applyFont="1" applyBorder="1">
      <alignment vertical="center"/>
    </xf>
    <xf numFmtId="182" fontId="3" fillId="0" borderId="9" xfId="0" applyNumberFormat="1" applyFont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4" xfId="0" applyNumberFormat="1" applyFont="1" applyBorder="1">
      <alignment vertical="center"/>
    </xf>
    <xf numFmtId="182" fontId="3" fillId="0" borderId="5" xfId="0" applyNumberFormat="1" applyFont="1" applyBorder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82" fontId="3" fillId="0" borderId="2" xfId="0" applyNumberFormat="1" applyFont="1" applyBorder="1">
      <alignment vertical="center"/>
    </xf>
    <xf numFmtId="182" fontId="3" fillId="0" borderId="3" xfId="0" applyNumberFormat="1" applyFont="1" applyBorder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82" fontId="3" fillId="0" borderId="10" xfId="0" applyNumberFormat="1" applyFont="1" applyBorder="1">
      <alignment vertical="center"/>
    </xf>
    <xf numFmtId="182" fontId="3" fillId="0" borderId="11" xfId="0" applyNumberFormat="1" applyFont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195" fontId="17" fillId="0" borderId="0" xfId="0" applyNumberFormat="1" applyFont="1" applyFill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8" fontId="3" fillId="0" borderId="1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2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distributed" textRotation="255"/>
    </xf>
    <xf numFmtId="41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distributed" vertical="center" indent="1"/>
    </xf>
    <xf numFmtId="41" fontId="3" fillId="0" borderId="5" xfId="0" applyNumberFormat="1" applyFont="1" applyBorder="1">
      <alignment vertical="center"/>
    </xf>
    <xf numFmtId="0" fontId="3" fillId="0" borderId="5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indent="1"/>
    </xf>
    <xf numFmtId="41" fontId="3" fillId="0" borderId="11" xfId="0" applyNumberFormat="1" applyFont="1" applyBorder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 indent="1"/>
    </xf>
    <xf numFmtId="179" fontId="3" fillId="0" borderId="14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distributed" textRotation="255" inden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distributed" textRotation="255" indent="1"/>
    </xf>
    <xf numFmtId="41" fontId="3" fillId="0" borderId="9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distributed" vertical="distributed" textRotation="255" indent="1"/>
    </xf>
    <xf numFmtId="0" fontId="3" fillId="0" borderId="14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176" fontId="3" fillId="0" borderId="11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9" fontId="4" fillId="0" borderId="14" xfId="0" applyNumberFormat="1" applyFont="1" applyFill="1" applyBorder="1" applyAlignment="1">
      <alignment vertical="center" shrinkToFit="1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shrinkToFit="1"/>
    </xf>
    <xf numFmtId="9" fontId="4" fillId="0" borderId="14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Continuous" vertical="center"/>
    </xf>
    <xf numFmtId="0" fontId="7" fillId="4" borderId="0" xfId="0" applyFont="1" applyFill="1">
      <alignment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4" fontId="7" fillId="4" borderId="1" xfId="0" applyNumberFormat="1" applyFont="1" applyFill="1" applyBorder="1" applyAlignment="1">
      <alignment vertical="center"/>
    </xf>
    <xf numFmtId="0" fontId="7" fillId="4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4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193" fontId="7" fillId="0" borderId="0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distributed" vertical="center"/>
    </xf>
    <xf numFmtId="41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" xfId="0" applyNumberFormat="1" applyFont="1" applyFill="1" applyBorder="1" applyAlignment="1">
      <alignment horizontal="centerContinuous" vertical="center"/>
    </xf>
    <xf numFmtId="41" fontId="7" fillId="0" borderId="12" xfId="0" applyNumberFormat="1" applyFont="1" applyFill="1" applyBorder="1" applyAlignment="1">
      <alignment horizontal="left"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194" fontId="7" fillId="0" borderId="1" xfId="0" applyNumberFormat="1" applyFont="1" applyFill="1" applyBorder="1" applyAlignment="1">
      <alignment vertical="center"/>
    </xf>
    <xf numFmtId="192" fontId="7" fillId="0" borderId="1" xfId="0" applyNumberFormat="1" applyFont="1" applyFill="1" applyBorder="1" applyAlignment="1">
      <alignment vertical="center"/>
    </xf>
    <xf numFmtId="192" fontId="7" fillId="0" borderId="1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distributed" vertical="distributed" wrapText="1"/>
    </xf>
    <xf numFmtId="0" fontId="7" fillId="0" borderId="14" xfId="0" applyNumberFormat="1" applyFont="1" applyFill="1" applyBorder="1" applyAlignment="1">
      <alignment horizontal="right" vertical="distributed" wrapText="1"/>
    </xf>
    <xf numFmtId="0" fontId="7" fillId="0" borderId="0" xfId="0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distributed" vertical="center" wrapText="1"/>
    </xf>
    <xf numFmtId="0" fontId="7" fillId="0" borderId="14" xfId="0" applyNumberFormat="1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shrinkToFit="1"/>
    </xf>
    <xf numFmtId="0" fontId="7" fillId="0" borderId="7" xfId="0" applyNumberFormat="1" applyFont="1" applyFill="1" applyBorder="1" applyAlignment="1">
      <alignment horizontal="center" vertical="center"/>
    </xf>
    <xf numFmtId="193" fontId="7" fillId="0" borderId="7" xfId="0" applyNumberFormat="1" applyFont="1" applyFill="1" applyBorder="1" applyAlignment="1">
      <alignment vertical="center"/>
    </xf>
    <xf numFmtId="41" fontId="7" fillId="4" borderId="7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distributed" vertical="center" wrapText="1" justifyLastLine="1"/>
    </xf>
    <xf numFmtId="41" fontId="7" fillId="0" borderId="18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9" fontId="7" fillId="0" borderId="11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 applyProtection="1">
      <alignment horizontal="left" vertical="center"/>
    </xf>
    <xf numFmtId="49" fontId="7" fillId="0" borderId="11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left" vertical="center"/>
    </xf>
    <xf numFmtId="41" fontId="7" fillId="0" borderId="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Continuous" vertical="center"/>
    </xf>
    <xf numFmtId="193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distributed"/>
    </xf>
    <xf numFmtId="0" fontId="7" fillId="0" borderId="14" xfId="0" applyNumberFormat="1" applyFont="1" applyFill="1" applyBorder="1" applyAlignment="1">
      <alignment horizontal="distributed" vertical="distributed" wrapText="1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Alignment="1">
      <alignment vertical="center" shrinkToFit="1"/>
    </xf>
    <xf numFmtId="193" fontId="7" fillId="0" borderId="0" xfId="0" applyNumberFormat="1" applyFont="1" applyFill="1" applyBorder="1" applyAlignment="1">
      <alignment horizontal="left" vertical="center" shrinkToFit="1"/>
    </xf>
    <xf numFmtId="193" fontId="7" fillId="0" borderId="0" xfId="0" applyNumberFormat="1" applyFont="1" applyFill="1" applyAlignment="1">
      <alignment horizontal="left" vertical="center" shrinkToFit="1"/>
    </xf>
    <xf numFmtId="194" fontId="7" fillId="0" borderId="1" xfId="0" applyNumberFormat="1" applyFont="1" applyFill="1" applyBorder="1" applyAlignment="1">
      <alignment vertical="center" shrinkToFit="1"/>
    </xf>
    <xf numFmtId="193" fontId="7" fillId="0" borderId="7" xfId="0" applyNumberFormat="1" applyFont="1" applyFill="1" applyBorder="1" applyAlignment="1">
      <alignment vertical="center" shrinkToFit="1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92" fontId="11" fillId="0" borderId="1" xfId="0" applyNumberFormat="1" applyFont="1" applyFill="1" applyBorder="1" applyAlignment="1">
      <alignment vertical="center"/>
    </xf>
    <xf numFmtId="0" fontId="7" fillId="0" borderId="14" xfId="0" quotePrefix="1" applyNumberFormat="1" applyFont="1" applyFill="1" applyBorder="1" applyAlignment="1">
      <alignment horizontal="left" vertical="center"/>
    </xf>
    <xf numFmtId="0" fontId="7" fillId="4" borderId="1" xfId="0" quotePrefix="1" applyNumberFormat="1" applyFont="1" applyFill="1" applyBorder="1" applyAlignment="1">
      <alignment horizontal="center" vertical="center"/>
    </xf>
    <xf numFmtId="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 shrinkToFit="1"/>
    </xf>
    <xf numFmtId="194" fontId="11" fillId="0" borderId="1" xfId="0" applyNumberFormat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justifyLastLine="1"/>
    </xf>
    <xf numFmtId="178" fontId="7" fillId="0" borderId="10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5" fillId="6" borderId="0" xfId="0" applyFont="1" applyFill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Continuous" vertical="center"/>
    </xf>
    <xf numFmtId="0" fontId="7" fillId="6" borderId="0" xfId="0" applyFont="1" applyFill="1" applyAlignment="1">
      <alignment horizontal="centerContinuous" vertical="center"/>
    </xf>
    <xf numFmtId="0" fontId="7" fillId="6" borderId="0" xfId="0" applyFont="1" applyFill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quotePrefix="1" applyNumberFormat="1" applyFont="1" applyFill="1" applyBorder="1" applyAlignment="1">
      <alignment horizontal="center" vertical="center"/>
    </xf>
    <xf numFmtId="0" fontId="7" fillId="5" borderId="10" xfId="0" quotePrefix="1" applyNumberFormat="1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center" vertical="center"/>
    </xf>
    <xf numFmtId="181" fontId="7" fillId="5" borderId="1" xfId="0" applyNumberFormat="1" applyFont="1" applyFill="1" applyBorder="1" applyAlignment="1">
      <alignment horizontal="right" vertical="center" shrinkToFit="1"/>
    </xf>
    <xf numFmtId="41" fontId="7" fillId="5" borderId="1" xfId="0" applyNumberFormat="1" applyFont="1" applyFill="1" applyBorder="1" applyAlignment="1">
      <alignment vertical="center" shrinkToFit="1"/>
    </xf>
    <xf numFmtId="41" fontId="7" fillId="5" borderId="10" xfId="0" applyNumberFormat="1" applyFont="1" applyFill="1" applyBorder="1" applyAlignment="1">
      <alignment vertical="center"/>
    </xf>
    <xf numFmtId="41" fontId="7" fillId="5" borderId="14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41" fontId="3" fillId="0" borderId="0" xfId="0" applyNumberFormat="1" applyFont="1">
      <alignment vertical="center"/>
    </xf>
    <xf numFmtId="191" fontId="7" fillId="0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194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horizontal="center" vertical="center"/>
    </xf>
    <xf numFmtId="192" fontId="11" fillId="0" borderId="1" xfId="0" applyNumberFormat="1" applyFont="1" applyFill="1" applyBorder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distributed" vertical="center" wrapText="1"/>
    </xf>
    <xf numFmtId="0" fontId="11" fillId="0" borderId="14" xfId="0" applyNumberFormat="1" applyFont="1" applyFill="1" applyBorder="1" applyAlignment="1">
      <alignment horizontal="distributed" vertical="center" wrapText="1" justifyLastLine="1"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17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distributed" vertical="distributed" wrapText="1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vertical="distributed"/>
    </xf>
    <xf numFmtId="3" fontId="7" fillId="0" borderId="10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41" fontId="7" fillId="0" borderId="1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distributed" vertical="distributed" wrapText="1" justifyLastLine="1"/>
    </xf>
    <xf numFmtId="0" fontId="11" fillId="0" borderId="0" xfId="0" applyFont="1" applyFill="1">
      <alignment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5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1" xfId="0" applyFont="1" applyFill="1" applyBorder="1">
      <alignment vertical="center"/>
    </xf>
    <xf numFmtId="0" fontId="7" fillId="0" borderId="14" xfId="0" applyFont="1" applyFill="1" applyBorder="1">
      <alignment vertical="center"/>
    </xf>
    <xf numFmtId="9" fontId="7" fillId="0" borderId="11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41" fontId="7" fillId="0" borderId="1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shrinkToFit="1"/>
    </xf>
    <xf numFmtId="177" fontId="7" fillId="0" borderId="6" xfId="0" applyNumberFormat="1" applyFont="1" applyFill="1" applyBorder="1" applyAlignment="1">
      <alignment horizontal="center" vertical="center"/>
    </xf>
    <xf numFmtId="177" fontId="7" fillId="6" borderId="6" xfId="0" applyNumberFormat="1" applyFont="1" applyFill="1" applyBorder="1">
      <alignment vertical="center"/>
    </xf>
    <xf numFmtId="178" fontId="7" fillId="0" borderId="6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178" fontId="7" fillId="6" borderId="7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41" fontId="5" fillId="0" borderId="15" xfId="0" applyNumberFormat="1" applyFont="1" applyFill="1" applyBorder="1">
      <alignment vertical="center"/>
    </xf>
    <xf numFmtId="0" fontId="7" fillId="0" borderId="15" xfId="0" applyFont="1" applyFill="1" applyBorder="1" applyAlignment="1">
      <alignment horizontal="centerContinuous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 shrinkToFit="1"/>
    </xf>
    <xf numFmtId="41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41" fontId="19" fillId="0" borderId="0" xfId="0" applyNumberFormat="1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shrinkToFit="1"/>
    </xf>
    <xf numFmtId="178" fontId="7" fillId="0" borderId="22" xfId="0" applyNumberFormat="1" applyFont="1" applyFill="1" applyBorder="1" applyAlignment="1" applyProtection="1">
      <alignment horizontal="center" vertical="center"/>
    </xf>
    <xf numFmtId="181" fontId="7" fillId="0" borderId="20" xfId="0" applyNumberFormat="1" applyFont="1" applyFill="1" applyBorder="1" applyAlignment="1">
      <alignment horizontal="right"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178" fontId="7" fillId="0" borderId="22" xfId="0" applyNumberFormat="1" applyFont="1" applyFill="1" applyBorder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right" vertical="center" shrinkToFit="1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195" fontId="17" fillId="0" borderId="0" xfId="0" applyNumberFormat="1" applyFont="1" applyFill="1" applyAlignment="1">
      <alignment vertical="center"/>
    </xf>
    <xf numFmtId="0" fontId="7" fillId="6" borderId="7" xfId="0" applyFont="1" applyFill="1" applyBorder="1" applyAlignment="1">
      <alignment horizontal="left" vertical="center"/>
    </xf>
    <xf numFmtId="195" fontId="17" fillId="5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22" xfId="0" quotePrefix="1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 shrinkToFit="1"/>
    </xf>
    <xf numFmtId="41" fontId="7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Continuous" vertical="center" shrinkToFit="1"/>
    </xf>
    <xf numFmtId="0" fontId="7" fillId="0" borderId="0" xfId="0" applyFont="1" applyFill="1" applyAlignment="1">
      <alignment horizontal="centerContinuous" vertical="center" shrinkToFit="1"/>
    </xf>
    <xf numFmtId="49" fontId="7" fillId="0" borderId="3" xfId="0" applyNumberFormat="1" applyFont="1" applyFill="1" applyBorder="1" applyAlignment="1">
      <alignment vertical="center" shrinkToFit="1"/>
    </xf>
    <xf numFmtId="0" fontId="7" fillId="5" borderId="11" xfId="0" applyFont="1" applyFill="1" applyBorder="1" applyAlignment="1">
      <alignment horizontal="centerContinuous" vertical="center" shrinkToFit="1"/>
    </xf>
    <xf numFmtId="0" fontId="3" fillId="0" borderId="1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>
      <alignment vertical="center"/>
    </xf>
    <xf numFmtId="181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3" fillId="0" borderId="22" xfId="0" applyNumberFormat="1" applyFont="1" applyBorder="1">
      <alignment vertical="center"/>
    </xf>
    <xf numFmtId="178" fontId="3" fillId="0" borderId="23" xfId="0" applyNumberFormat="1" applyFont="1" applyBorder="1">
      <alignment vertical="center"/>
    </xf>
    <xf numFmtId="41" fontId="3" fillId="0" borderId="22" xfId="0" applyNumberFormat="1" applyFont="1" applyBorder="1">
      <alignment vertical="center"/>
    </xf>
    <xf numFmtId="0" fontId="3" fillId="0" borderId="21" xfId="0" applyFont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94" fontId="7" fillId="4" borderId="20" xfId="0" applyNumberFormat="1" applyFont="1" applyFill="1" applyBorder="1" applyAlignment="1">
      <alignment vertical="center"/>
    </xf>
    <xf numFmtId="41" fontId="5" fillId="0" borderId="0" xfId="1" applyFont="1" applyFill="1">
      <alignment vertical="center"/>
    </xf>
    <xf numFmtId="41" fontId="5" fillId="5" borderId="0" xfId="1" applyFont="1" applyFill="1">
      <alignment vertical="center"/>
    </xf>
    <xf numFmtId="41" fontId="5" fillId="0" borderId="0" xfId="1" applyFont="1" applyFill="1" applyAlignment="1">
      <alignment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41" fontId="7" fillId="0" borderId="20" xfId="0" applyNumberFormat="1" applyFont="1" applyFill="1" applyBorder="1" applyAlignment="1">
      <alignment horizontal="center" vertical="center" shrinkToFit="1"/>
    </xf>
    <xf numFmtId="41" fontId="7" fillId="0" borderId="20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Continuous" vertical="center"/>
    </xf>
    <xf numFmtId="41" fontId="7" fillId="0" borderId="15" xfId="0" applyNumberFormat="1" applyFont="1" applyFill="1" applyBorder="1" applyAlignment="1">
      <alignment horizontal="right" vertical="center" shrinkToFit="1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41" fontId="7" fillId="0" borderId="1" xfId="0" applyNumberFormat="1" applyFont="1" applyFill="1" applyBorder="1">
      <alignment vertical="center"/>
    </xf>
    <xf numFmtId="181" fontId="7" fillId="0" borderId="1" xfId="0" applyNumberFormat="1" applyFont="1" applyFill="1" applyBorder="1">
      <alignment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5" fillId="0" borderId="19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41" fontId="7" fillId="0" borderId="19" xfId="0" applyNumberFormat="1" applyFont="1" applyFill="1" applyBorder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9" xfId="0" applyFont="1" applyFill="1" applyBorder="1">
      <alignment vertical="center"/>
    </xf>
    <xf numFmtId="181" fontId="7" fillId="0" borderId="22" xfId="0" applyNumberFormat="1" applyFont="1" applyFill="1" applyBorder="1" applyAlignment="1">
      <alignment horizontal="center" vertical="center"/>
    </xf>
    <xf numFmtId="0" fontId="7" fillId="0" borderId="0" xfId="0" quotePrefix="1" applyFont="1" applyFill="1">
      <alignment vertical="center"/>
    </xf>
    <xf numFmtId="181" fontId="13" fillId="0" borderId="1" xfId="0" applyNumberFormat="1" applyFont="1" applyFill="1" applyBorder="1" applyAlignment="1">
      <alignment horizontal="center" vertical="center"/>
    </xf>
    <xf numFmtId="193" fontId="7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left" vertical="center" shrinkToFit="1"/>
    </xf>
    <xf numFmtId="0" fontId="7" fillId="0" borderId="22" xfId="4" applyNumberFormat="1" applyFont="1" applyFill="1" applyBorder="1" applyAlignment="1">
      <alignment vertical="center"/>
    </xf>
    <xf numFmtId="0" fontId="7" fillId="0" borderId="20" xfId="4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left" vertical="center"/>
    </xf>
    <xf numFmtId="0" fontId="7" fillId="0" borderId="22" xfId="5" applyNumberFormat="1" applyFont="1" applyFill="1" applyBorder="1" applyAlignment="1">
      <alignment vertical="center"/>
    </xf>
    <xf numFmtId="0" fontId="7" fillId="0" borderId="23" xfId="5" applyNumberFormat="1" applyFont="1" applyFill="1" applyBorder="1" applyAlignment="1">
      <alignment horizontal="left" vertical="center" shrinkToFit="1"/>
    </xf>
    <xf numFmtId="0" fontId="7" fillId="0" borderId="20" xfId="5" applyNumberFormat="1" applyFont="1" applyFill="1" applyBorder="1" applyAlignment="1">
      <alignment horizontal="center" vertical="center"/>
    </xf>
    <xf numFmtId="194" fontId="7" fillId="0" borderId="20" xfId="1" applyNumberFormat="1" applyFont="1" applyFill="1" applyBorder="1" applyAlignment="1">
      <alignment vertical="center"/>
    </xf>
    <xf numFmtId="0" fontId="7" fillId="0" borderId="21" xfId="5" applyNumberFormat="1" applyFont="1" applyFill="1" applyBorder="1" applyAlignment="1">
      <alignment vertical="center"/>
    </xf>
    <xf numFmtId="0" fontId="7" fillId="0" borderId="21" xfId="4" applyNumberFormat="1" applyFont="1" applyFill="1" applyBorder="1" applyAlignment="1">
      <alignment vertical="center"/>
    </xf>
    <xf numFmtId="195" fontId="24" fillId="0" borderId="0" xfId="0" applyNumberFormat="1" applyFont="1" applyFill="1" applyAlignment="1">
      <alignment vertical="center"/>
    </xf>
    <xf numFmtId="0" fontId="25" fillId="0" borderId="0" xfId="0" applyFont="1" applyFill="1">
      <alignment vertical="center"/>
    </xf>
    <xf numFmtId="195" fontId="24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195" fontId="24" fillId="5" borderId="0" xfId="0" applyNumberFormat="1" applyFont="1" applyFill="1" applyAlignment="1">
      <alignment vertical="center"/>
    </xf>
    <xf numFmtId="41" fontId="27" fillId="0" borderId="0" xfId="1" applyFont="1" applyFill="1" applyAlignment="1">
      <alignment horizontal="center" vertical="center" shrinkToFit="1"/>
    </xf>
    <xf numFmtId="41" fontId="27" fillId="0" borderId="0" xfId="1" applyFont="1" applyFill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left" vertical="center" shrinkToFit="1"/>
    </xf>
    <xf numFmtId="194" fontId="7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left" vertical="center"/>
    </xf>
    <xf numFmtId="49" fontId="7" fillId="0" borderId="23" xfId="5" applyNumberFormat="1" applyFont="1" applyFill="1" applyBorder="1" applyAlignment="1">
      <alignment horizontal="left" vertical="center" shrinkToFit="1"/>
    </xf>
    <xf numFmtId="41" fontId="7" fillId="0" borderId="20" xfId="1" applyFont="1" applyFill="1" applyBorder="1" applyAlignment="1">
      <alignment horizontal="center" vertical="center" shrinkToFit="1"/>
    </xf>
    <xf numFmtId="194" fontId="7" fillId="0" borderId="7" xfId="1" applyNumberFormat="1" applyFont="1" applyFill="1" applyBorder="1" applyAlignment="1">
      <alignment vertical="center"/>
    </xf>
    <xf numFmtId="9" fontId="7" fillId="0" borderId="21" xfId="2" applyFont="1" applyFill="1" applyBorder="1" applyAlignment="1">
      <alignment vertical="center" shrinkToFit="1"/>
    </xf>
    <xf numFmtId="9" fontId="7" fillId="0" borderId="22" xfId="2" applyFont="1" applyFill="1" applyBorder="1" applyAlignment="1">
      <alignment vertical="center"/>
    </xf>
    <xf numFmtId="9" fontId="7" fillId="0" borderId="23" xfId="2" applyFont="1" applyFill="1" applyBorder="1" applyAlignment="1">
      <alignment horizontal="left" vertical="center" shrinkToFit="1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center" vertical="center"/>
    </xf>
    <xf numFmtId="0" fontId="7" fillId="7" borderId="0" xfId="0" applyFont="1" applyFill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182" fontId="3" fillId="0" borderId="0" xfId="0" applyNumberFormat="1" applyFont="1">
      <alignment vertical="center"/>
    </xf>
    <xf numFmtId="182" fontId="28" fillId="0" borderId="0" xfId="0" applyNumberFormat="1" applyFont="1">
      <alignment vertical="center"/>
    </xf>
    <xf numFmtId="41" fontId="3" fillId="0" borderId="0" xfId="1" applyFont="1">
      <alignment vertical="center"/>
    </xf>
    <xf numFmtId="10" fontId="3" fillId="0" borderId="0" xfId="2" applyNumberFormat="1" applyFont="1">
      <alignment vertical="center"/>
    </xf>
    <xf numFmtId="178" fontId="3" fillId="0" borderId="2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178" fontId="3" fillId="0" borderId="10" xfId="0" applyNumberFormat="1" applyFont="1" applyFill="1" applyBorder="1">
      <alignment vertical="center"/>
    </xf>
    <xf numFmtId="178" fontId="3" fillId="0" borderId="15" xfId="0" applyNumberFormat="1" applyFont="1" applyFill="1" applyBorder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82" fontId="30" fillId="0" borderId="0" xfId="0" applyNumberFormat="1" applyFont="1" applyAlignment="1">
      <alignment horizontal="center" vertical="center"/>
    </xf>
    <xf numFmtId="182" fontId="29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82" fontId="28" fillId="0" borderId="0" xfId="0" applyNumberFormat="1" applyFont="1" applyAlignment="1">
      <alignment horizontal="center" vertical="center"/>
    </xf>
    <xf numFmtId="196" fontId="7" fillId="0" borderId="23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horizontal="center" vertical="center"/>
    </xf>
    <xf numFmtId="196" fontId="7" fillId="0" borderId="20" xfId="0" applyNumberFormat="1" applyFont="1" applyFill="1" applyBorder="1" applyAlignment="1">
      <alignment horizontal="center" vertical="center"/>
    </xf>
    <xf numFmtId="192" fontId="7" fillId="0" borderId="2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distributed" textRotation="255" indent="3"/>
    </xf>
    <xf numFmtId="0" fontId="3" fillId="0" borderId="8" xfId="0" applyFont="1" applyBorder="1" applyAlignment="1">
      <alignment horizontal="distributed" vertical="distributed" textRotation="255" indent="3"/>
    </xf>
    <xf numFmtId="0" fontId="3" fillId="0" borderId="7" xfId="0" applyFont="1" applyBorder="1" applyAlignment="1">
      <alignment horizontal="distributed" vertical="distributed" textRotation="255" indent="3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191" fontId="7" fillId="0" borderId="12" xfId="0" applyNumberFormat="1" applyFont="1" applyFill="1" applyBorder="1" applyAlignment="1">
      <alignment horizontal="center" vertical="center"/>
    </xf>
    <xf numFmtId="191" fontId="7" fillId="0" borderId="3" xfId="0" applyNumberFormat="1" applyFont="1" applyFill="1" applyBorder="1" applyAlignment="1">
      <alignment horizontal="center" vertical="center"/>
    </xf>
    <xf numFmtId="191" fontId="7" fillId="0" borderId="13" xfId="0" applyNumberFormat="1" applyFont="1" applyFill="1" applyBorder="1" applyAlignment="1">
      <alignment horizontal="center" vertical="center"/>
    </xf>
    <xf numFmtId="191" fontId="7" fillId="0" borderId="5" xfId="0" applyNumberFormat="1" applyFont="1" applyFill="1" applyBorder="1" applyAlignment="1">
      <alignment horizontal="center" vertical="center"/>
    </xf>
    <xf numFmtId="193" fontId="7" fillId="0" borderId="6" xfId="0" applyNumberFormat="1" applyFont="1" applyFill="1" applyBorder="1" applyAlignment="1">
      <alignment horizontal="center" vertical="center" shrinkToFit="1"/>
    </xf>
    <xf numFmtId="193" fontId="7" fillId="0" borderId="7" xfId="0" applyNumberFormat="1" applyFont="1" applyFill="1" applyBorder="1" applyAlignment="1">
      <alignment horizontal="center" vertical="center" shrinkToFit="1"/>
    </xf>
    <xf numFmtId="193" fontId="7" fillId="0" borderId="6" xfId="0" applyNumberFormat="1" applyFont="1" applyFill="1" applyBorder="1" applyAlignment="1">
      <alignment horizontal="center" vertical="center"/>
    </xf>
    <xf numFmtId="193" fontId="7" fillId="0" borderId="7" xfId="0" applyNumberFormat="1" applyFont="1" applyFill="1" applyBorder="1" applyAlignment="1">
      <alignment horizontal="center" vertical="center"/>
    </xf>
    <xf numFmtId="191" fontId="7" fillId="0" borderId="2" xfId="0" applyNumberFormat="1" applyFont="1" applyFill="1" applyBorder="1" applyAlignment="1">
      <alignment horizontal="center" vertical="center"/>
    </xf>
    <xf numFmtId="191" fontId="7" fillId="0" borderId="4" xfId="0" applyNumberFormat="1" applyFont="1" applyFill="1" applyBorder="1" applyAlignment="1">
      <alignment horizontal="center" vertical="center"/>
    </xf>
    <xf numFmtId="192" fontId="7" fillId="0" borderId="12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 indent="3"/>
    </xf>
    <xf numFmtId="0" fontId="3" fillId="0" borderId="1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wrapText="1" indent="4"/>
    </xf>
    <xf numFmtId="0" fontId="3" fillId="0" borderId="14" xfId="0" applyFont="1" applyBorder="1" applyAlignment="1">
      <alignment horizontal="distributed" vertical="center" wrapText="1" indent="4"/>
    </xf>
    <xf numFmtId="0" fontId="3" fillId="0" borderId="11" xfId="0" applyFont="1" applyBorder="1" applyAlignment="1">
      <alignment horizontal="distributed" vertical="center" wrapText="1" indent="4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 textRotation="255"/>
    </xf>
    <xf numFmtId="41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백분율" xfId="2" builtinId="5"/>
    <cellStyle name="쉼표 [0]" xfId="1" builtinId="6"/>
    <cellStyle name="표준" xfId="0" builtinId="0"/>
    <cellStyle name="표준_Book4" xfId="3"/>
    <cellStyle name="표준_INT-일~1" xfId="5"/>
    <cellStyle name="표준_전시시설물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4</xdr:col>
      <xdr:colOff>9525</xdr:colOff>
      <xdr:row>5</xdr:row>
      <xdr:rowOff>0</xdr:rowOff>
    </xdr:to>
    <xdr:cxnSp macro="">
      <xdr:nvCxnSpPr>
        <xdr:cNvPr id="3" name="직선 연결선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" y="1028700"/>
          <a:ext cx="1885950" cy="504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181</xdr:row>
      <xdr:rowOff>0</xdr:rowOff>
    </xdr:from>
    <xdr:ext cx="0" cy="142875"/>
    <xdr:pic>
      <xdr:nvPicPr>
        <xdr:cNvPr id="2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181</xdr:row>
      <xdr:rowOff>0</xdr:rowOff>
    </xdr:from>
    <xdr:ext cx="0" cy="142875"/>
    <xdr:pic>
      <xdr:nvPicPr>
        <xdr:cNvPr id="3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181</xdr:row>
      <xdr:rowOff>0</xdr:rowOff>
    </xdr:from>
    <xdr:ext cx="0" cy="142875"/>
    <xdr:pic>
      <xdr:nvPicPr>
        <xdr:cNvPr id="4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5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6" name="그림 5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7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8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9" name="그림 8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0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181</xdr:row>
      <xdr:rowOff>0</xdr:rowOff>
    </xdr:from>
    <xdr:ext cx="0" cy="142875"/>
    <xdr:pic>
      <xdr:nvPicPr>
        <xdr:cNvPr id="11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181</xdr:row>
      <xdr:rowOff>0</xdr:rowOff>
    </xdr:from>
    <xdr:ext cx="0" cy="142875"/>
    <xdr:pic>
      <xdr:nvPicPr>
        <xdr:cNvPr id="12" name="그림 11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181</xdr:row>
      <xdr:rowOff>0</xdr:rowOff>
    </xdr:from>
    <xdr:ext cx="0" cy="142875"/>
    <xdr:pic>
      <xdr:nvPicPr>
        <xdr:cNvPr id="13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4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5" name="그림 14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6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7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8" name="그림 17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181</xdr:row>
      <xdr:rowOff>0</xdr:rowOff>
    </xdr:from>
    <xdr:ext cx="0" cy="142875"/>
    <xdr:pic>
      <xdr:nvPicPr>
        <xdr:cNvPr id="19" name="그림 2" descr="진로설계관 '1-1 Who am I' 천정면적.jpg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321403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3</xdr:col>
      <xdr:colOff>9525</xdr:colOff>
      <xdr:row>6</xdr:row>
      <xdr:rowOff>0</xdr:rowOff>
    </xdr:to>
    <xdr:cxnSp macro="">
      <xdr:nvCxnSpPr>
        <xdr:cNvPr id="2" name="직선 연결선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19050" y="1004358"/>
          <a:ext cx="2181225" cy="625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632;&#49688;/ESSL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4;&#49444;/Desktop/&#51473;&#50521;&#54848;/&#51077;&#52272;&#47928;/&#54632;&#49688;/ESS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SSL"/>
    </sheetNames>
    <definedNames>
      <definedName name="dhtextevaluate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SSL"/>
    </sheetNames>
    <definedNames>
      <definedName name="dhtextevaluat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P37"/>
  <sheetViews>
    <sheetView view="pageBreakPreview" zoomScaleSheetLayoutView="100" workbookViewId="0">
      <selection activeCell="E19" sqref="E19"/>
    </sheetView>
  </sheetViews>
  <sheetFormatPr defaultRowHeight="12" x14ac:dyDescent="0.15"/>
  <cols>
    <col min="1" max="1" width="7.140625" style="3" customWidth="1"/>
    <col min="2" max="2" width="1.7109375" style="3" customWidth="1"/>
    <col min="3" max="3" width="41" style="3" customWidth="1"/>
    <col min="4" max="4" width="1.7109375" style="3" customWidth="1"/>
    <col min="5" max="5" width="30.85546875" style="200" customWidth="1"/>
    <col min="6" max="6" width="1.7109375" style="200" customWidth="1"/>
    <col min="7" max="7" width="21" style="3" customWidth="1"/>
    <col min="8" max="9" width="1.7109375" style="3" customWidth="1"/>
    <col min="10" max="10" width="46.5703125" style="3" customWidth="1"/>
    <col min="11" max="11" width="1.7109375" style="3" customWidth="1"/>
    <col min="12" max="12" width="9.28515625" style="3" bestFit="1" customWidth="1"/>
    <col min="13" max="13" width="5.42578125" style="3" customWidth="1"/>
    <col min="14" max="14" width="9.140625" style="3"/>
    <col min="15" max="15" width="5.42578125" style="3" customWidth="1"/>
    <col min="16" max="16" width="9.140625" style="840"/>
    <col min="17" max="16384" width="9.140625" style="3"/>
  </cols>
  <sheetData>
    <row r="1" spans="1:16" ht="39.950000000000003" customHeight="1" x14ac:dyDescent="0.15">
      <c r="A1" s="690" t="s">
        <v>1444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</row>
    <row r="2" spans="1:16" ht="20.100000000000001" customHeight="1" x14ac:dyDescent="0.15">
      <c r="L2" s="201" t="s">
        <v>961</v>
      </c>
    </row>
    <row r="3" spans="1:16" ht="20.100000000000001" customHeight="1" x14ac:dyDescent="0.15">
      <c r="A3" s="674" t="s">
        <v>1539</v>
      </c>
      <c r="K3" s="40" t="s">
        <v>89</v>
      </c>
      <c r="L3" s="201" t="s">
        <v>972</v>
      </c>
    </row>
    <row r="4" spans="1:16" ht="18" customHeight="1" x14ac:dyDescent="0.15">
      <c r="A4" s="865" t="s">
        <v>727</v>
      </c>
      <c r="B4" s="892"/>
      <c r="C4" s="892"/>
      <c r="D4" s="392"/>
      <c r="E4" s="877" t="s">
        <v>86</v>
      </c>
      <c r="F4" s="878"/>
      <c r="G4" s="872" t="s">
        <v>728</v>
      </c>
      <c r="H4" s="873"/>
      <c r="I4" s="872" t="s">
        <v>241</v>
      </c>
      <c r="J4" s="870"/>
      <c r="K4" s="873"/>
      <c r="L4" s="393">
        <v>100</v>
      </c>
      <c r="N4" s="840"/>
    </row>
    <row r="5" spans="1:16" ht="18" customHeight="1" x14ac:dyDescent="0.15">
      <c r="A5" s="881" t="s">
        <v>729</v>
      </c>
      <c r="B5" s="882"/>
      <c r="C5" s="882"/>
      <c r="D5" s="394"/>
      <c r="E5" s="879"/>
      <c r="F5" s="880"/>
      <c r="G5" s="874"/>
      <c r="H5" s="876"/>
      <c r="I5" s="874"/>
      <c r="J5" s="875"/>
      <c r="K5" s="876"/>
      <c r="L5" s="850" t="s">
        <v>1442</v>
      </c>
      <c r="M5" s="816"/>
      <c r="N5" s="849" t="s">
        <v>1445</v>
      </c>
      <c r="P5" s="853" t="s">
        <v>1443</v>
      </c>
    </row>
    <row r="6" spans="1:16" ht="18" customHeight="1" x14ac:dyDescent="0.15">
      <c r="A6" s="889" t="s">
        <v>170</v>
      </c>
      <c r="B6" s="395"/>
      <c r="C6" s="54" t="s">
        <v>2</v>
      </c>
      <c r="D6" s="266"/>
      <c r="E6" s="845">
        <f>집계!J21</f>
        <v>59012815</v>
      </c>
      <c r="F6" s="396"/>
      <c r="G6" s="865"/>
      <c r="H6" s="397"/>
      <c r="I6" s="398"/>
      <c r="J6" s="399" t="str">
        <f>집계!$A$1&amp;"참조"</f>
        <v>&lt; 표 : 1 &gt; 참조</v>
      </c>
      <c r="K6" s="400"/>
      <c r="L6" s="850"/>
      <c r="N6" s="849"/>
      <c r="P6" s="853"/>
    </row>
    <row r="7" spans="1:16" ht="18" customHeight="1" x14ac:dyDescent="0.15">
      <c r="A7" s="890"/>
      <c r="B7" s="401"/>
      <c r="C7" s="64" t="s">
        <v>730</v>
      </c>
      <c r="D7" s="402"/>
      <c r="E7" s="846">
        <f>E6*L7%</f>
        <v>0</v>
      </c>
      <c r="F7" s="403"/>
      <c r="G7" s="866"/>
      <c r="H7" s="404"/>
      <c r="I7" s="405"/>
      <c r="J7" s="406"/>
      <c r="K7" s="407"/>
      <c r="L7" s="850">
        <v>0</v>
      </c>
      <c r="N7" s="849">
        <v>0</v>
      </c>
      <c r="P7" s="853"/>
    </row>
    <row r="8" spans="1:16" ht="18" customHeight="1" x14ac:dyDescent="0.15">
      <c r="A8" s="891"/>
      <c r="B8" s="408"/>
      <c r="C8" s="263" t="s">
        <v>731</v>
      </c>
      <c r="D8" s="409"/>
      <c r="E8" s="847">
        <f>SUM(E6:E7)</f>
        <v>59012815</v>
      </c>
      <c r="F8" s="410"/>
      <c r="G8" s="411">
        <f>TRUNC(E8/$E$26*100,2)</f>
        <v>65.099999999999994</v>
      </c>
      <c r="H8" s="412"/>
      <c r="I8" s="413"/>
      <c r="J8" s="389"/>
      <c r="K8" s="414"/>
      <c r="L8" s="850"/>
      <c r="N8" s="849"/>
      <c r="P8" s="853"/>
    </row>
    <row r="9" spans="1:16" ht="18" customHeight="1" x14ac:dyDescent="0.15">
      <c r="A9" s="889" t="s">
        <v>0</v>
      </c>
      <c r="B9" s="415"/>
      <c r="C9" s="54" t="s">
        <v>171</v>
      </c>
      <c r="D9" s="266"/>
      <c r="E9" s="845">
        <f>집계!L21</f>
        <v>20143789</v>
      </c>
      <c r="F9" s="396"/>
      <c r="G9" s="416"/>
      <c r="H9" s="417"/>
      <c r="I9" s="418"/>
      <c r="J9" s="677" t="str">
        <f>집계!$A$1&amp;"참조"</f>
        <v>&lt; 표 : 1 &gt; 참조</v>
      </c>
      <c r="K9" s="400"/>
      <c r="L9" s="850"/>
      <c r="N9" s="849"/>
      <c r="P9" s="853"/>
    </row>
    <row r="10" spans="1:16" ht="18" customHeight="1" x14ac:dyDescent="0.15">
      <c r="A10" s="890"/>
      <c r="B10" s="419"/>
      <c r="C10" s="60" t="s">
        <v>1</v>
      </c>
      <c r="D10" s="271"/>
      <c r="E10" s="846">
        <f>TRUNC(E9*L10%)</f>
        <v>1007189</v>
      </c>
      <c r="F10" s="403"/>
      <c r="G10" s="416"/>
      <c r="H10" s="417"/>
      <c r="I10" s="418"/>
      <c r="J10" s="406" t="str">
        <f>"직접노무비 × "&amp;L10&amp;"%"</f>
        <v>직접노무비 × 5%</v>
      </c>
      <c r="K10" s="407"/>
      <c r="L10" s="851">
        <v>5</v>
      </c>
      <c r="M10" s="841"/>
      <c r="N10" s="852">
        <v>9.6999999999999993</v>
      </c>
      <c r="O10" s="841"/>
      <c r="P10" s="854">
        <f>L10-N10</f>
        <v>-4.6999999999999993</v>
      </c>
    </row>
    <row r="11" spans="1:16" ht="18" customHeight="1" x14ac:dyDescent="0.15">
      <c r="A11" s="891"/>
      <c r="B11" s="408"/>
      <c r="C11" s="263" t="s">
        <v>731</v>
      </c>
      <c r="D11" s="409"/>
      <c r="E11" s="847">
        <f>SUM(E9:E10)</f>
        <v>21150978</v>
      </c>
      <c r="F11" s="410"/>
      <c r="G11" s="411">
        <f>TRUNC(E11/$E$26*100,1)</f>
        <v>23.3</v>
      </c>
      <c r="H11" s="412"/>
      <c r="I11" s="413"/>
      <c r="J11" s="389"/>
      <c r="K11" s="414"/>
      <c r="L11" s="851"/>
      <c r="M11" s="841"/>
      <c r="N11" s="852"/>
      <c r="O11" s="841"/>
      <c r="P11" s="854"/>
    </row>
    <row r="12" spans="1:16" ht="18" customHeight="1" x14ac:dyDescent="0.15">
      <c r="A12" s="886" t="s">
        <v>197</v>
      </c>
      <c r="B12" s="420"/>
      <c r="C12" s="54" t="s">
        <v>194</v>
      </c>
      <c r="D12" s="266"/>
      <c r="E12" s="845">
        <f>집계!N21</f>
        <v>6604</v>
      </c>
      <c r="F12" s="396"/>
      <c r="G12" s="421"/>
      <c r="H12" s="397"/>
      <c r="I12" s="398"/>
      <c r="J12" s="677" t="str">
        <f>집계!$A$1&amp;"참조"</f>
        <v>&lt; 표 : 1 &gt; 참조</v>
      </c>
      <c r="K12" s="400"/>
      <c r="L12" s="851"/>
      <c r="M12" s="841"/>
      <c r="N12" s="852"/>
      <c r="O12" s="841"/>
      <c r="P12" s="854"/>
    </row>
    <row r="13" spans="1:16" ht="18" customHeight="1" x14ac:dyDescent="0.15">
      <c r="A13" s="887"/>
      <c r="B13" s="422"/>
      <c r="C13" s="60" t="s">
        <v>657</v>
      </c>
      <c r="D13" s="271"/>
      <c r="E13" s="848">
        <f>TRUNC($E$11*L13%)</f>
        <v>824888</v>
      </c>
      <c r="F13" s="423"/>
      <c r="G13" s="416"/>
      <c r="H13" s="417"/>
      <c r="I13" s="418"/>
      <c r="J13" s="424" t="str">
        <f>"노무비 × "&amp;L13&amp;"%"</f>
        <v>노무비 × 3.9%</v>
      </c>
      <c r="K13" s="425"/>
      <c r="L13" s="851">
        <v>3.9</v>
      </c>
      <c r="M13" s="841"/>
      <c r="N13" s="852">
        <v>3.9</v>
      </c>
      <c r="O13" s="841"/>
      <c r="P13" s="854">
        <f t="shared" ref="P13:P20" si="0">L13-N13</f>
        <v>0</v>
      </c>
    </row>
    <row r="14" spans="1:16" ht="18" customHeight="1" x14ac:dyDescent="0.15">
      <c r="A14" s="887"/>
      <c r="B14" s="422"/>
      <c r="C14" s="60" t="s">
        <v>19</v>
      </c>
      <c r="D14" s="271"/>
      <c r="E14" s="360">
        <f>TRUNC($E$11*L14%)</f>
        <v>184013</v>
      </c>
      <c r="F14" s="423"/>
      <c r="G14" s="416"/>
      <c r="H14" s="417"/>
      <c r="I14" s="418"/>
      <c r="J14" s="424" t="str">
        <f>"노무비 × "&amp;L14&amp;"%"</f>
        <v>노무비 × 0.87%</v>
      </c>
      <c r="K14" s="425"/>
      <c r="L14" s="851">
        <v>0.87</v>
      </c>
      <c r="M14" s="841"/>
      <c r="N14" s="852">
        <v>0.87</v>
      </c>
      <c r="O14" s="841"/>
      <c r="P14" s="854">
        <f t="shared" si="0"/>
        <v>0</v>
      </c>
    </row>
    <row r="15" spans="1:16" ht="18" customHeight="1" x14ac:dyDescent="0.15">
      <c r="A15" s="887"/>
      <c r="B15" s="422"/>
      <c r="C15" s="60" t="s">
        <v>20</v>
      </c>
      <c r="D15" s="271"/>
      <c r="E15" s="360">
        <v>0</v>
      </c>
      <c r="F15" s="423"/>
      <c r="G15" s="416"/>
      <c r="H15" s="417"/>
      <c r="I15" s="418"/>
      <c r="J15" s="424" t="s">
        <v>1254</v>
      </c>
      <c r="K15" s="425"/>
      <c r="L15" s="851">
        <v>1.7</v>
      </c>
      <c r="M15" s="841"/>
      <c r="N15" s="852">
        <v>1.7</v>
      </c>
      <c r="O15" s="841"/>
      <c r="P15" s="854">
        <f t="shared" si="0"/>
        <v>0</v>
      </c>
    </row>
    <row r="16" spans="1:16" ht="18" customHeight="1" x14ac:dyDescent="0.15">
      <c r="A16" s="887"/>
      <c r="B16" s="422"/>
      <c r="C16" s="60" t="s">
        <v>3</v>
      </c>
      <c r="D16" s="271"/>
      <c r="E16" s="360">
        <v>0</v>
      </c>
      <c r="F16" s="423"/>
      <c r="G16" s="416"/>
      <c r="H16" s="417"/>
      <c r="I16" s="418"/>
      <c r="J16" s="424" t="s">
        <v>1254</v>
      </c>
      <c r="K16" s="425"/>
      <c r="L16" s="851">
        <v>2.4900000000000002</v>
      </c>
      <c r="M16" s="841"/>
      <c r="N16" s="852">
        <v>2.4900000000000002</v>
      </c>
      <c r="O16" s="841"/>
      <c r="P16" s="854">
        <f t="shared" si="0"/>
        <v>0</v>
      </c>
    </row>
    <row r="17" spans="1:16" ht="18" customHeight="1" x14ac:dyDescent="0.15">
      <c r="A17" s="887"/>
      <c r="B17" s="422"/>
      <c r="C17" s="60" t="s">
        <v>164</v>
      </c>
      <c r="D17" s="271"/>
      <c r="E17" s="360">
        <v>0</v>
      </c>
      <c r="F17" s="423"/>
      <c r="G17" s="416"/>
      <c r="H17" s="417"/>
      <c r="I17" s="418"/>
      <c r="J17" s="424" t="s">
        <v>1254</v>
      </c>
      <c r="K17" s="425"/>
      <c r="L17" s="851">
        <v>6.55</v>
      </c>
      <c r="M17" s="841"/>
      <c r="N17" s="852">
        <v>6.55</v>
      </c>
      <c r="O17" s="841"/>
      <c r="P17" s="854">
        <f t="shared" si="0"/>
        <v>0</v>
      </c>
    </row>
    <row r="18" spans="1:16" ht="18" customHeight="1" x14ac:dyDescent="0.15">
      <c r="A18" s="887"/>
      <c r="B18" s="422"/>
      <c r="C18" s="60" t="s">
        <v>21</v>
      </c>
      <c r="D18" s="271"/>
      <c r="E18" s="360">
        <v>0</v>
      </c>
      <c r="F18" s="423"/>
      <c r="G18" s="416"/>
      <c r="H18" s="417"/>
      <c r="I18" s="418"/>
      <c r="J18" s="424" t="s">
        <v>1255</v>
      </c>
      <c r="K18" s="425"/>
      <c r="L18" s="851">
        <v>2.2999999999999998</v>
      </c>
      <c r="M18" s="841"/>
      <c r="N18" s="852">
        <v>2.2999999999999998</v>
      </c>
      <c r="O18" s="841"/>
      <c r="P18" s="854">
        <f t="shared" si="0"/>
        <v>0</v>
      </c>
    </row>
    <row r="19" spans="1:16" ht="18" customHeight="1" x14ac:dyDescent="0.15">
      <c r="A19" s="887"/>
      <c r="B19" s="422"/>
      <c r="C19" s="60" t="s">
        <v>174</v>
      </c>
      <c r="D19" s="271"/>
      <c r="E19" s="360">
        <f>TRUNC((E8+E9)*L19%)+M19</f>
        <v>2319288</v>
      </c>
      <c r="F19" s="423"/>
      <c r="G19" s="416"/>
      <c r="H19" s="417"/>
      <c r="I19" s="418"/>
      <c r="J19" s="426" t="str">
        <f>"(재료비+직접노무비)×"&amp;L19&amp;"%"</f>
        <v>(재료비+직접노무비)×2.93%</v>
      </c>
      <c r="K19" s="425"/>
      <c r="L19" s="851">
        <v>2.93</v>
      </c>
      <c r="M19" s="841"/>
      <c r="N19" s="852">
        <v>2.93</v>
      </c>
      <c r="O19" s="841"/>
      <c r="P19" s="854">
        <f t="shared" si="0"/>
        <v>0</v>
      </c>
    </row>
    <row r="20" spans="1:16" ht="18" customHeight="1" x14ac:dyDescent="0.15">
      <c r="A20" s="887"/>
      <c r="B20" s="422"/>
      <c r="C20" s="60" t="s">
        <v>713</v>
      </c>
      <c r="D20" s="271"/>
      <c r="E20" s="360">
        <f>TRUNC(SUM(E8,E11)*$L$20%)</f>
        <v>1923931</v>
      </c>
      <c r="F20" s="423"/>
      <c r="G20" s="416"/>
      <c r="H20" s="417"/>
      <c r="I20" s="418"/>
      <c r="J20" s="406" t="str">
        <f>"(재료비+노무비)×"&amp;L20&amp;"%"</f>
        <v>(재료비+노무비)×2.4%</v>
      </c>
      <c r="K20" s="407"/>
      <c r="L20" s="851">
        <v>2.4</v>
      </c>
      <c r="M20" s="841"/>
      <c r="N20" s="852">
        <v>4.8</v>
      </c>
      <c r="O20" s="841"/>
      <c r="P20" s="854">
        <f t="shared" si="0"/>
        <v>-2.4</v>
      </c>
    </row>
    <row r="21" spans="1:16" ht="18" customHeight="1" x14ac:dyDescent="0.15">
      <c r="A21" s="888"/>
      <c r="B21" s="427"/>
      <c r="C21" s="263" t="s">
        <v>731</v>
      </c>
      <c r="D21" s="409"/>
      <c r="E21" s="390">
        <f>SUM(E12:E20)</f>
        <v>5258724</v>
      </c>
      <c r="F21" s="410"/>
      <c r="G21" s="411">
        <f>TRUNC(E21/$E$26*100,2)</f>
        <v>5.8</v>
      </c>
      <c r="H21" s="412"/>
      <c r="I21" s="413"/>
      <c r="J21" s="389"/>
      <c r="K21" s="414"/>
      <c r="L21" s="851"/>
      <c r="M21" s="841"/>
      <c r="N21" s="852"/>
      <c r="O21" s="841"/>
      <c r="P21" s="854"/>
    </row>
    <row r="22" spans="1:16" ht="18" customHeight="1" x14ac:dyDescent="0.15">
      <c r="A22" s="883" t="s">
        <v>4</v>
      </c>
      <c r="B22" s="884"/>
      <c r="C22" s="884"/>
      <c r="D22" s="885"/>
      <c r="E22" s="390">
        <f>TRUNC(SUM(E8,E11,E21))</f>
        <v>85422517</v>
      </c>
      <c r="F22" s="410"/>
      <c r="G22" s="411">
        <f>SUM(G8,G11,G21)</f>
        <v>94.199999999999989</v>
      </c>
      <c r="H22" s="412"/>
      <c r="I22" s="413"/>
      <c r="J22" s="389" t="str">
        <f>"재료비+노무비+경비"</f>
        <v>재료비+노무비+경비</v>
      </c>
      <c r="K22" s="414"/>
      <c r="L22" s="851"/>
      <c r="M22" s="841"/>
      <c r="N22" s="852"/>
      <c r="O22" s="841"/>
      <c r="P22" s="854"/>
    </row>
    <row r="23" spans="1:16" ht="18" customHeight="1" x14ac:dyDescent="0.15">
      <c r="A23" s="867" t="str">
        <f>"일반관리비 ("&amp;L23&amp;"%)"</f>
        <v>일반관리비 (3%)</v>
      </c>
      <c r="B23" s="868"/>
      <c r="C23" s="868"/>
      <c r="D23" s="869"/>
      <c r="E23" s="390">
        <f>TRUNC(E22*L23%)</f>
        <v>2562675</v>
      </c>
      <c r="F23" s="410"/>
      <c r="G23" s="411">
        <f>TRUNC(E23/$E$26*100,2)</f>
        <v>2.82</v>
      </c>
      <c r="H23" s="412"/>
      <c r="I23" s="413"/>
      <c r="J23" s="428" t="str">
        <f>"순설치원가 × "&amp;L23&amp;"%"</f>
        <v>순설치원가 × 3%</v>
      </c>
      <c r="K23" s="414"/>
      <c r="L23" s="851">
        <v>3</v>
      </c>
      <c r="M23" s="841"/>
      <c r="N23" s="852">
        <v>6</v>
      </c>
      <c r="O23" s="841"/>
      <c r="P23" s="854">
        <f t="shared" ref="P23:P24" si="1">L23-N23</f>
        <v>-3</v>
      </c>
    </row>
    <row r="24" spans="1:16" ht="18" customHeight="1" x14ac:dyDescent="0.15">
      <c r="A24" s="867" t="str">
        <f>"이윤 ("&amp;L24&amp;"%)"</f>
        <v>이윤 (7%)</v>
      </c>
      <c r="B24" s="868"/>
      <c r="C24" s="868"/>
      <c r="D24" s="869"/>
      <c r="E24" s="390">
        <f>TRUNC((E11+E21+E23)*L24%)-82948</f>
        <v>1945118</v>
      </c>
      <c r="F24" s="410"/>
      <c r="G24" s="411">
        <f>TRUNC(E24/$E$26*100,2)</f>
        <v>2.14</v>
      </c>
      <c r="H24" s="412"/>
      <c r="I24" s="413"/>
      <c r="J24" s="428" t="str">
        <f>"(노무비+경비+일.관) × "&amp;L24&amp;"%"</f>
        <v>(노무비+경비+일.관) × 7%</v>
      </c>
      <c r="K24" s="414"/>
      <c r="L24" s="851">
        <v>7</v>
      </c>
      <c r="M24" s="841"/>
      <c r="N24" s="852">
        <v>15</v>
      </c>
      <c r="O24" s="841"/>
      <c r="P24" s="854">
        <f t="shared" si="1"/>
        <v>-8</v>
      </c>
    </row>
    <row r="25" spans="1:16" s="674" customFormat="1" ht="18" customHeight="1" x14ac:dyDescent="0.15">
      <c r="A25" s="867" t="s">
        <v>1192</v>
      </c>
      <c r="B25" s="868"/>
      <c r="C25" s="868"/>
      <c r="D25" s="869"/>
      <c r="E25" s="390">
        <f>집계!P22</f>
        <v>707083</v>
      </c>
      <c r="F25" s="410"/>
      <c r="G25" s="411">
        <f>TRUNC(E25/$E$26*100,2)</f>
        <v>0.78</v>
      </c>
      <c r="H25" s="412"/>
      <c r="I25" s="413"/>
      <c r="J25" s="677" t="str">
        <f>집계!$A$1&amp;"참조"</f>
        <v>&lt; 표 : 1 &gt; 참조</v>
      </c>
      <c r="K25" s="414"/>
      <c r="L25" s="841"/>
      <c r="M25" s="841"/>
      <c r="N25" s="841"/>
      <c r="O25" s="841"/>
      <c r="P25" s="842"/>
    </row>
    <row r="26" spans="1:16" ht="18" customHeight="1" x14ac:dyDescent="0.15">
      <c r="A26" s="867" t="s">
        <v>732</v>
      </c>
      <c r="B26" s="868"/>
      <c r="C26" s="868"/>
      <c r="D26" s="869"/>
      <c r="E26" s="92">
        <f>SUM(E22:E25)</f>
        <v>90637393</v>
      </c>
      <c r="F26" s="410"/>
      <c r="G26" s="411">
        <f>TRUNC(E26/$E$26*100,2)</f>
        <v>100</v>
      </c>
      <c r="H26" s="412"/>
      <c r="I26" s="413"/>
      <c r="J26" s="429" t="s">
        <v>638</v>
      </c>
      <c r="K26" s="430"/>
      <c r="N26" s="674"/>
    </row>
    <row r="27" spans="1:16" ht="18" customHeight="1" x14ac:dyDescent="0.15">
      <c r="A27" s="867" t="s">
        <v>5</v>
      </c>
      <c r="B27" s="868"/>
      <c r="C27" s="868"/>
      <c r="D27" s="869"/>
      <c r="E27" s="390">
        <f>TRUNC(E26*10%)</f>
        <v>9063739</v>
      </c>
      <c r="F27" s="431"/>
      <c r="G27" s="432"/>
      <c r="H27" s="433"/>
      <c r="I27" s="434"/>
      <c r="J27" s="428" t="str">
        <f>"총원가 × 10%"</f>
        <v>총원가 × 10%</v>
      </c>
      <c r="K27" s="414"/>
    </row>
    <row r="28" spans="1:16" ht="18" customHeight="1" x14ac:dyDescent="0.15">
      <c r="A28" s="867" t="s">
        <v>733</v>
      </c>
      <c r="B28" s="868"/>
      <c r="C28" s="868"/>
      <c r="D28" s="869"/>
      <c r="E28" s="390">
        <f>SUM(E26:E27)</f>
        <v>99701132</v>
      </c>
      <c r="F28" s="410"/>
      <c r="G28" s="432"/>
      <c r="H28" s="433"/>
      <c r="I28" s="434"/>
      <c r="J28" s="428" t="str">
        <f>"총원가 + 부가가치세"</f>
        <v>총원가 + 부가가치세</v>
      </c>
      <c r="K28" s="414"/>
    </row>
    <row r="29" spans="1:16" ht="24.95" customHeight="1" x14ac:dyDescent="0.15">
      <c r="C29" s="870" t="s">
        <v>1064</v>
      </c>
      <c r="E29" s="200">
        <v>85000000</v>
      </c>
    </row>
    <row r="30" spans="1:16" x14ac:dyDescent="0.15">
      <c r="C30" s="871"/>
      <c r="E30" s="600">
        <f>E29-E28</f>
        <v>-14701132</v>
      </c>
    </row>
    <row r="31" spans="1:16" x14ac:dyDescent="0.15">
      <c r="E31" s="3"/>
    </row>
    <row r="32" spans="1:16" x14ac:dyDescent="0.15">
      <c r="E32" s="843"/>
    </row>
    <row r="33" spans="5:5" x14ac:dyDescent="0.15">
      <c r="E33" s="844"/>
    </row>
    <row r="34" spans="5:5" x14ac:dyDescent="0.15">
      <c r="E34" s="3"/>
    </row>
    <row r="35" spans="5:5" x14ac:dyDescent="0.15">
      <c r="E35" s="3"/>
    </row>
    <row r="36" spans="5:5" x14ac:dyDescent="0.15">
      <c r="E36" s="3"/>
    </row>
    <row r="37" spans="5:5" x14ac:dyDescent="0.15">
      <c r="E37" s="3"/>
    </row>
  </sheetData>
  <mergeCells count="17">
    <mergeCell ref="A9:A11"/>
    <mergeCell ref="G6:G7"/>
    <mergeCell ref="A25:D25"/>
    <mergeCell ref="C29:C30"/>
    <mergeCell ref="I4:K5"/>
    <mergeCell ref="A28:D28"/>
    <mergeCell ref="E4:F5"/>
    <mergeCell ref="G4:H5"/>
    <mergeCell ref="A5:C5"/>
    <mergeCell ref="A22:D22"/>
    <mergeCell ref="A23:D23"/>
    <mergeCell ref="A24:D24"/>
    <mergeCell ref="A26:D26"/>
    <mergeCell ref="A12:A21"/>
    <mergeCell ref="A27:D27"/>
    <mergeCell ref="A6:A8"/>
    <mergeCell ref="A4:C4"/>
  </mergeCells>
  <phoneticPr fontId="1" type="noConversion"/>
  <printOptions horizontalCentered="1"/>
  <pageMargins left="0.39370078740157483" right="0.39370078740157483" top="0.70866141732283472" bottom="0.51181102362204722" header="0.51181102362204722" footer="0.51181102362204722"/>
  <pageSetup paperSize="9" scale="92" orientation="landscape" blackAndWhite="1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1"/>
  <sheetViews>
    <sheetView workbookViewId="0"/>
  </sheetViews>
  <sheetFormatPr defaultRowHeight="12" x14ac:dyDescent="0.15"/>
  <cols>
    <col min="1" max="1" width="2.7109375" style="3" customWidth="1"/>
    <col min="2" max="2" width="23" style="3" customWidth="1"/>
    <col min="3" max="3" width="2.7109375" style="3" customWidth="1"/>
    <col min="4" max="4" width="10.7109375" style="3" customWidth="1"/>
    <col min="5" max="5" width="17.7109375" style="3" customWidth="1"/>
    <col min="6" max="6" width="14.28515625" style="3" customWidth="1"/>
    <col min="7" max="7" width="1.85546875" style="3" customWidth="1"/>
    <col min="8" max="8" width="1.7109375" style="3" customWidth="1"/>
    <col min="9" max="9" width="18.5703125" style="3" customWidth="1"/>
    <col min="10" max="10" width="1.7109375" style="3" customWidth="1"/>
    <col min="11" max="16384" width="9.140625" style="3"/>
  </cols>
  <sheetData>
    <row r="1" spans="1:10" ht="20.100000000000001" customHeight="1" x14ac:dyDescent="0.15">
      <c r="A1" s="249" t="s">
        <v>231</v>
      </c>
    </row>
    <row r="2" spans="1:10" ht="39.950000000000003" customHeight="1" x14ac:dyDescent="0.1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0.100000000000001" customHeight="1" x14ac:dyDescent="0.15">
      <c r="J4" s="40" t="s">
        <v>89</v>
      </c>
    </row>
    <row r="5" spans="1:10" ht="50.1" customHeight="1" x14ac:dyDescent="0.15">
      <c r="A5" s="262"/>
      <c r="B5" s="324" t="s">
        <v>228</v>
      </c>
      <c r="C5" s="292"/>
      <c r="D5" s="52" t="s">
        <v>371</v>
      </c>
      <c r="E5" s="291" t="s">
        <v>18</v>
      </c>
      <c r="F5" s="289" t="s">
        <v>173</v>
      </c>
      <c r="G5" s="339"/>
      <c r="H5" s="258"/>
      <c r="I5" s="324" t="s">
        <v>229</v>
      </c>
      <c r="J5" s="260"/>
    </row>
    <row r="6" spans="1:10" ht="33" customHeight="1" x14ac:dyDescent="0.15">
      <c r="A6" s="53"/>
      <c r="B6" s="355"/>
      <c r="C6" s="55"/>
      <c r="D6" s="57" t="s">
        <v>7</v>
      </c>
      <c r="E6" s="57" t="s">
        <v>13</v>
      </c>
      <c r="F6" s="53"/>
      <c r="G6" s="355"/>
      <c r="H6" s="53"/>
      <c r="I6" s="355"/>
      <c r="J6" s="55"/>
    </row>
    <row r="7" spans="1:10" ht="33" customHeight="1" x14ac:dyDescent="0.15">
      <c r="A7" s="59"/>
      <c r="B7" s="60" t="s">
        <v>194</v>
      </c>
      <c r="C7" s="58"/>
      <c r="D7" s="319"/>
      <c r="E7" s="319"/>
      <c r="F7" s="360" t="e">
        <f>#REF!</f>
        <v>#REF!</v>
      </c>
      <c r="G7" s="335"/>
      <c r="H7" s="332"/>
      <c r="I7" s="60" t="e">
        <f>#REF!&amp;" 참조"</f>
        <v>#REF!</v>
      </c>
      <c r="J7" s="58"/>
    </row>
    <row r="8" spans="1:10" ht="33" customHeight="1" x14ac:dyDescent="0.15">
      <c r="A8" s="59"/>
      <c r="B8" s="60" t="s">
        <v>657</v>
      </c>
      <c r="C8" s="58"/>
      <c r="D8" s="319"/>
      <c r="E8" s="319"/>
      <c r="F8" s="360">
        <f>산재!G9</f>
        <v>803737</v>
      </c>
      <c r="G8" s="335"/>
      <c r="H8" s="332"/>
      <c r="I8" s="60" t="str">
        <f>산재!A1&amp;" 참조"</f>
        <v>&lt; 표 : 11 &gt; 참조</v>
      </c>
      <c r="J8" s="58"/>
    </row>
    <row r="9" spans="1:10" ht="33" customHeight="1" x14ac:dyDescent="0.15">
      <c r="A9" s="59"/>
      <c r="B9" s="60" t="s">
        <v>19</v>
      </c>
      <c r="C9" s="58"/>
      <c r="D9" s="319"/>
      <c r="E9" s="319"/>
      <c r="F9" s="360">
        <f>고용!G9</f>
        <v>184013</v>
      </c>
      <c r="G9" s="335"/>
      <c r="H9" s="332"/>
      <c r="I9" s="60" t="str">
        <f>고용!A1&amp;" 참조"</f>
        <v>&lt; 표 : 13 &gt;  참조</v>
      </c>
      <c r="J9" s="58"/>
    </row>
    <row r="10" spans="1:10" ht="33" customHeight="1" x14ac:dyDescent="0.15">
      <c r="A10" s="59"/>
      <c r="B10" s="60" t="s">
        <v>20</v>
      </c>
      <c r="C10" s="58"/>
      <c r="D10" s="319"/>
      <c r="E10" s="319"/>
      <c r="F10" s="360">
        <f>건강!G9</f>
        <v>342444</v>
      </c>
      <c r="G10" s="335"/>
      <c r="H10" s="332"/>
      <c r="I10" s="60" t="str">
        <f>건강!A1&amp;" 참조"</f>
        <v>&lt; 표 : 14 &gt;  참조</v>
      </c>
      <c r="J10" s="58"/>
    </row>
    <row r="11" spans="1:10" ht="33" customHeight="1" x14ac:dyDescent="0.15">
      <c r="A11" s="59"/>
      <c r="B11" s="60" t="s">
        <v>3</v>
      </c>
      <c r="C11" s="58"/>
      <c r="D11" s="319"/>
      <c r="E11" s="319"/>
      <c r="F11" s="360">
        <f>연금!G9</f>
        <v>501580</v>
      </c>
      <c r="G11" s="335"/>
      <c r="H11" s="332"/>
      <c r="I11" s="60" t="str">
        <f>연금!A1&amp;" 참조"</f>
        <v>&lt; 표 : 15 &gt;  참조</v>
      </c>
      <c r="J11" s="58"/>
    </row>
    <row r="12" spans="1:10" ht="33" customHeight="1" x14ac:dyDescent="0.15">
      <c r="A12" s="59"/>
      <c r="B12" s="60" t="s">
        <v>164</v>
      </c>
      <c r="C12" s="58"/>
      <c r="D12" s="319"/>
      <c r="E12" s="319"/>
      <c r="F12" s="360">
        <f>노인!G9</f>
        <v>0</v>
      </c>
      <c r="G12" s="335"/>
      <c r="H12" s="332"/>
      <c r="I12" s="60" t="str">
        <f>노인!A1&amp;" 참조"</f>
        <v>&lt; 표 : 16 &gt;  참조</v>
      </c>
      <c r="J12" s="58"/>
    </row>
    <row r="13" spans="1:10" ht="33" customHeight="1" x14ac:dyDescent="0.15">
      <c r="A13" s="59"/>
      <c r="B13" s="60" t="s">
        <v>21</v>
      </c>
      <c r="C13" s="58"/>
      <c r="D13" s="319"/>
      <c r="E13" s="319"/>
      <c r="F13" s="360">
        <f>퇴직!G9</f>
        <v>463307</v>
      </c>
      <c r="G13" s="335"/>
      <c r="H13" s="332"/>
      <c r="I13" s="60" t="str">
        <f>퇴직!A1&amp;" 참조"</f>
        <v>&lt; 표 : 17 &gt;  참조</v>
      </c>
      <c r="J13" s="58"/>
    </row>
    <row r="14" spans="1:10" ht="33" customHeight="1" x14ac:dyDescent="0.15">
      <c r="A14" s="59"/>
      <c r="B14" s="60" t="s">
        <v>174</v>
      </c>
      <c r="C14" s="58"/>
      <c r="D14" s="319"/>
      <c r="E14" s="319"/>
      <c r="F14" s="360">
        <f>안전!H10</f>
        <v>1559385</v>
      </c>
      <c r="G14" s="335"/>
      <c r="H14" s="332"/>
      <c r="I14" s="60" t="str">
        <f>안전!A1&amp;" 참조"</f>
        <v>&lt; 표 : 18 &gt;  참조</v>
      </c>
      <c r="J14" s="58"/>
    </row>
    <row r="15" spans="1:10" ht="33" customHeight="1" x14ac:dyDescent="0.15">
      <c r="A15" s="59"/>
      <c r="B15" s="60" t="s">
        <v>22</v>
      </c>
      <c r="C15" s="58"/>
      <c r="D15" s="319"/>
      <c r="E15" s="319"/>
      <c r="F15" s="360" t="e">
        <f>환경!I10</f>
        <v>#REF!</v>
      </c>
      <c r="G15" s="335"/>
      <c r="H15" s="332"/>
      <c r="I15" s="60" t="str">
        <f>환경!A1&amp;" 참조"</f>
        <v>&lt; 표 : 20 &gt;  참조</v>
      </c>
      <c r="J15" s="58"/>
    </row>
    <row r="16" spans="1:10" ht="33" customHeight="1" x14ac:dyDescent="0.15">
      <c r="A16" s="59"/>
      <c r="B16" s="60" t="s">
        <v>713</v>
      </c>
      <c r="C16" s="58"/>
      <c r="D16" s="62">
        <f>경배!G19</f>
        <v>6.3</v>
      </c>
      <c r="E16" s="320">
        <f>원가!E8+원가!E11</f>
        <v>80163793</v>
      </c>
      <c r="F16" s="360">
        <f>TRUNC(D16%*E16)</f>
        <v>5050318</v>
      </c>
      <c r="G16" s="335"/>
      <c r="H16" s="332"/>
      <c r="I16" s="361" t="s">
        <v>23</v>
      </c>
      <c r="J16" s="58"/>
    </row>
    <row r="17" spans="1:10" ht="13.5" customHeight="1" x14ac:dyDescent="0.15">
      <c r="A17" s="63"/>
      <c r="B17" s="64"/>
      <c r="C17" s="65"/>
      <c r="D17" s="66"/>
      <c r="E17" s="362"/>
      <c r="F17" s="350"/>
      <c r="G17" s="352"/>
      <c r="H17" s="350"/>
      <c r="I17" s="37"/>
      <c r="J17" s="65"/>
    </row>
    <row r="18" spans="1:10" ht="45" customHeight="1" x14ac:dyDescent="0.15">
      <c r="A18" s="323"/>
      <c r="B18" s="279" t="s">
        <v>88</v>
      </c>
      <c r="C18" s="252"/>
      <c r="D18" s="325"/>
      <c r="E18" s="325"/>
      <c r="F18" s="363" t="e">
        <f>TRUNC(SUM(F7:F17))</f>
        <v>#REF!</v>
      </c>
      <c r="G18" s="364"/>
      <c r="H18" s="323"/>
      <c r="I18" s="365"/>
      <c r="J18" s="252"/>
    </row>
    <row r="19" spans="1:10" ht="20.100000000000001" customHeight="1" x14ac:dyDescent="0.15">
      <c r="A19" s="3" t="str">
        <f>"주 1) 배부율(%) : "&amp;경배!A1&amp;경배!A2&amp;" 참조"</f>
        <v>주 1) 배부율(%) : &lt; 표 : 9 &gt; 경비배부율산출표 참조</v>
      </c>
      <c r="B19" s="288"/>
    </row>
    <row r="20" spans="1:10" ht="20.100000000000001" customHeight="1" x14ac:dyDescent="0.15">
      <c r="A20" s="3" t="str">
        <f>"   2) 배부대상액 : "&amp;원가!A1&amp;" 참조"</f>
        <v xml:space="preserve">   2) 배부대상액 : 원가계산서 참조</v>
      </c>
      <c r="B20" s="338"/>
    </row>
    <row r="21" spans="1:10" ht="20.100000000000001" customHeight="1" x14ac:dyDescent="0.15">
      <c r="B21" s="338"/>
    </row>
    <row r="22" spans="1:10" ht="20.100000000000001" customHeight="1" x14ac:dyDescent="0.15">
      <c r="B22" s="338"/>
    </row>
    <row r="23" spans="1:10" ht="20.100000000000001" customHeight="1" x14ac:dyDescent="0.15">
      <c r="B23" s="338"/>
    </row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  <row r="29" spans="1:10" ht="20.100000000000001" customHeight="1" x14ac:dyDescent="0.15"/>
    <row r="30" spans="1:10" ht="20.100000000000001" customHeight="1" x14ac:dyDescent="0.15"/>
    <row r="31" spans="1:10" ht="20.100000000000001" customHeight="1" x14ac:dyDescent="0.15"/>
    <row r="32" spans="1:1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38"/>
  <sheetViews>
    <sheetView workbookViewId="0"/>
  </sheetViews>
  <sheetFormatPr defaultRowHeight="12" x14ac:dyDescent="0.15"/>
  <cols>
    <col min="1" max="1" width="2.7109375" style="3" customWidth="1"/>
    <col min="2" max="2" width="21.7109375" style="3" customWidth="1"/>
    <col min="3" max="3" width="2.7109375" style="3" customWidth="1"/>
    <col min="4" max="4" width="13.7109375" style="3" customWidth="1"/>
    <col min="5" max="6" width="14.5703125" style="3" customWidth="1"/>
    <col min="7" max="7" width="13.140625" style="3" customWidth="1"/>
    <col min="8" max="8" width="12.28515625" style="3" customWidth="1"/>
    <col min="9" max="16384" width="9.140625" style="3"/>
  </cols>
  <sheetData>
    <row r="1" spans="1:8" ht="20.100000000000001" customHeight="1" x14ac:dyDescent="0.15">
      <c r="A1" s="249" t="s">
        <v>227</v>
      </c>
    </row>
    <row r="2" spans="1:8" ht="39.950000000000003" customHeight="1" x14ac:dyDescent="0.15">
      <c r="A2" s="4" t="s">
        <v>25</v>
      </c>
      <c r="B2" s="4"/>
      <c r="C2" s="4"/>
      <c r="D2" s="4"/>
      <c r="E2" s="4"/>
      <c r="F2" s="4"/>
      <c r="G2" s="4"/>
      <c r="H2" s="4"/>
    </row>
    <row r="3" spans="1:8" ht="20.100000000000001" customHeight="1" x14ac:dyDescent="0.15">
      <c r="A3" s="4"/>
      <c r="B3" s="4"/>
      <c r="C3" s="4"/>
      <c r="D3" s="4"/>
      <c r="E3" s="4"/>
      <c r="F3" s="4"/>
      <c r="G3" s="4"/>
      <c r="H3" s="4"/>
    </row>
    <row r="4" spans="1:8" ht="20.100000000000001" customHeight="1" x14ac:dyDescent="0.15"/>
    <row r="5" spans="1:8" ht="50.1" customHeight="1" x14ac:dyDescent="0.15">
      <c r="A5" s="289" t="s">
        <v>712</v>
      </c>
      <c r="B5" s="339"/>
      <c r="C5" s="290"/>
      <c r="D5" s="52" t="s">
        <v>26</v>
      </c>
      <c r="E5" s="116" t="s">
        <v>513</v>
      </c>
      <c r="F5" s="52" t="s">
        <v>570</v>
      </c>
      <c r="G5" s="52" t="s">
        <v>27</v>
      </c>
      <c r="H5" s="52" t="s">
        <v>28</v>
      </c>
    </row>
    <row r="6" spans="1:8" ht="32.1" customHeight="1" x14ac:dyDescent="0.15">
      <c r="A6" s="53"/>
      <c r="B6" s="355"/>
      <c r="C6" s="55"/>
      <c r="D6" s="57" t="s">
        <v>7</v>
      </c>
      <c r="E6" s="119"/>
      <c r="F6" s="57"/>
      <c r="G6" s="57" t="s">
        <v>13</v>
      </c>
      <c r="H6" s="57"/>
    </row>
    <row r="7" spans="1:8" ht="32.1" customHeight="1" x14ac:dyDescent="0.15">
      <c r="A7" s="59"/>
      <c r="B7" s="198"/>
      <c r="C7" s="58"/>
      <c r="D7" s="62" t="s">
        <v>36</v>
      </c>
      <c r="E7" s="120" t="s">
        <v>36</v>
      </c>
      <c r="F7" s="62" t="s">
        <v>36</v>
      </c>
      <c r="G7" s="62" t="s">
        <v>36</v>
      </c>
      <c r="H7" s="62"/>
    </row>
    <row r="8" spans="1:8" ht="32.1" customHeight="1" x14ac:dyDescent="0.15">
      <c r="A8" s="59"/>
      <c r="B8" s="60" t="s">
        <v>29</v>
      </c>
      <c r="C8" s="58"/>
      <c r="D8" s="356">
        <f>완성!E14*100</f>
        <v>0.56400000000000006</v>
      </c>
      <c r="E8" s="356">
        <f>완성!E52*100</f>
        <v>0.84</v>
      </c>
      <c r="F8" s="356">
        <f>완성!O52*100</f>
        <v>0.56600000000000006</v>
      </c>
      <c r="G8" s="62" t="s">
        <v>40</v>
      </c>
      <c r="H8" s="62" t="s">
        <v>37</v>
      </c>
    </row>
    <row r="9" spans="1:8" ht="32.1" customHeight="1" x14ac:dyDescent="0.15">
      <c r="A9" s="59"/>
      <c r="B9" s="60" t="s">
        <v>47</v>
      </c>
      <c r="C9" s="58"/>
      <c r="D9" s="356">
        <f>완성!E15*100</f>
        <v>0</v>
      </c>
      <c r="E9" s="356">
        <f>완성!E53*100</f>
        <v>0</v>
      </c>
      <c r="F9" s="356">
        <f>완성!O53*100</f>
        <v>0</v>
      </c>
      <c r="G9" s="357">
        <f>TRUNC(SUM(D9:F9)/3,3)</f>
        <v>0</v>
      </c>
      <c r="H9" s="62"/>
    </row>
    <row r="10" spans="1:8" ht="32.1" customHeight="1" x14ac:dyDescent="0.15">
      <c r="A10" s="59"/>
      <c r="B10" s="60" t="s">
        <v>30</v>
      </c>
      <c r="C10" s="58"/>
      <c r="D10" s="356">
        <f>완성!E24*100</f>
        <v>2.02</v>
      </c>
      <c r="E10" s="356">
        <f>완성!E62*100</f>
        <v>4.2090000000000005</v>
      </c>
      <c r="F10" s="356">
        <f>완성!O62*100</f>
        <v>3.0870000000000002</v>
      </c>
      <c r="G10" s="357">
        <f>TRUNC(SUM(D10:F10)/3,3)</f>
        <v>3.105</v>
      </c>
      <c r="H10" s="62"/>
    </row>
    <row r="11" spans="1:8" ht="32.1" customHeight="1" x14ac:dyDescent="0.15">
      <c r="A11" s="59"/>
      <c r="B11" s="60" t="s">
        <v>31</v>
      </c>
      <c r="C11" s="58"/>
      <c r="D11" s="356">
        <f>완성!E28*100</f>
        <v>1.113</v>
      </c>
      <c r="E11" s="356">
        <f>완성!E66*100</f>
        <v>1.952</v>
      </c>
      <c r="F11" s="356">
        <f>완성!O66*100</f>
        <v>1.8419999999999999</v>
      </c>
      <c r="G11" s="357">
        <f>TRUNC(SUM(D11:F11)/3,3)</f>
        <v>1.635</v>
      </c>
      <c r="H11" s="62"/>
    </row>
    <row r="12" spans="1:8" ht="32.1" customHeight="1" x14ac:dyDescent="0.15">
      <c r="A12" s="59"/>
      <c r="B12" s="60" t="s">
        <v>32</v>
      </c>
      <c r="C12" s="58"/>
      <c r="D12" s="356">
        <f>완성!E29*100</f>
        <v>0.307</v>
      </c>
      <c r="E12" s="356">
        <f>완성!E67*100</f>
        <v>0.66899999999999993</v>
      </c>
      <c r="F12" s="356">
        <f>완성!O67*100</f>
        <v>0.56899999999999995</v>
      </c>
      <c r="G12" s="357">
        <f>TRUNC(SUM(D12:F12)/3,3)</f>
        <v>0.51500000000000001</v>
      </c>
      <c r="H12" s="62"/>
    </row>
    <row r="13" spans="1:8" ht="32.1" customHeight="1" x14ac:dyDescent="0.15">
      <c r="A13" s="59"/>
      <c r="B13" s="60" t="s">
        <v>33</v>
      </c>
      <c r="C13" s="58"/>
      <c r="D13" s="356">
        <f>완성!E30*100</f>
        <v>2.899</v>
      </c>
      <c r="E13" s="356">
        <f>완성!E68*100</f>
        <v>1.387</v>
      </c>
      <c r="F13" s="356">
        <f>완성!O68*100</f>
        <v>1.208</v>
      </c>
      <c r="G13" s="357">
        <f>TRUNC(SUM(D13:F13)/3,3)</f>
        <v>1.831</v>
      </c>
      <c r="H13" s="62"/>
    </row>
    <row r="14" spans="1:8" ht="32.1" customHeight="1" x14ac:dyDescent="0.15">
      <c r="A14" s="59"/>
      <c r="B14" s="60" t="s">
        <v>34</v>
      </c>
      <c r="C14" s="58"/>
      <c r="D14" s="356">
        <f>완성!E32*10</f>
        <v>7.2000000000000007E-3</v>
      </c>
      <c r="E14" s="356">
        <f>완성!E70*100</f>
        <v>0.22899999999999998</v>
      </c>
      <c r="F14" s="356">
        <f>완성!O70*100</f>
        <v>0.14699999999999999</v>
      </c>
      <c r="G14" s="62" t="s">
        <v>40</v>
      </c>
      <c r="H14" s="62" t="s">
        <v>37</v>
      </c>
    </row>
    <row r="15" spans="1:8" ht="32.1" customHeight="1" x14ac:dyDescent="0.15">
      <c r="A15" s="59"/>
      <c r="B15" s="60" t="s">
        <v>35</v>
      </c>
      <c r="C15" s="58"/>
      <c r="D15" s="356">
        <f>완성!E33*100</f>
        <v>6.8489999999999993</v>
      </c>
      <c r="E15" s="356">
        <f>완성!E71*100</f>
        <v>10.32</v>
      </c>
      <c r="F15" s="356">
        <f>완성!O71*100</f>
        <v>6.3990000000000009</v>
      </c>
      <c r="G15" s="62" t="s">
        <v>40</v>
      </c>
      <c r="H15" s="62" t="s">
        <v>38</v>
      </c>
    </row>
    <row r="16" spans="1:8" ht="32.1" customHeight="1" x14ac:dyDescent="0.15">
      <c r="A16" s="63"/>
      <c r="B16" s="64"/>
      <c r="C16" s="65"/>
      <c r="D16" s="66"/>
      <c r="E16" s="66"/>
      <c r="F16" s="66"/>
      <c r="G16" s="66"/>
      <c r="H16" s="336"/>
    </row>
    <row r="17" spans="1:8" ht="39.950000000000003" customHeight="1" x14ac:dyDescent="0.15">
      <c r="A17" s="323"/>
      <c r="B17" s="263" t="s">
        <v>39</v>
      </c>
      <c r="C17" s="252"/>
      <c r="D17" s="325"/>
      <c r="E17" s="325"/>
      <c r="F17" s="325"/>
      <c r="G17" s="358">
        <f>SUM(G8:G16)</f>
        <v>7.0860000000000003</v>
      </c>
      <c r="H17" s="325"/>
    </row>
    <row r="18" spans="1:8" ht="39.950000000000003" customHeight="1" x14ac:dyDescent="0.15">
      <c r="A18" s="323"/>
      <c r="B18" s="123" t="s">
        <v>429</v>
      </c>
      <c r="C18" s="252"/>
      <c r="D18" s="325"/>
      <c r="E18" s="325"/>
      <c r="F18" s="325"/>
      <c r="G18" s="358">
        <v>6.3</v>
      </c>
      <c r="H18" s="325"/>
    </row>
    <row r="19" spans="1:8" ht="39.950000000000003" customHeight="1" x14ac:dyDescent="0.15">
      <c r="A19" s="323"/>
      <c r="B19" s="263" t="s">
        <v>189</v>
      </c>
      <c r="C19" s="252"/>
      <c r="D19" s="325"/>
      <c r="E19" s="325"/>
      <c r="F19" s="325"/>
      <c r="G19" s="114">
        <f>MIN(G17:G18)</f>
        <v>6.3</v>
      </c>
      <c r="H19" s="325"/>
    </row>
    <row r="20" spans="1:8" ht="20.100000000000001" customHeight="1" x14ac:dyDescent="0.15">
      <c r="A20" s="3" t="str">
        <f>"주 1) "&amp;완성!A1&amp;완성!A2&amp;" 참조"</f>
        <v>주 1) &lt; 표 : 10 &gt; 완성공사원가통계(경비율) 참조</v>
      </c>
      <c r="B20" s="359"/>
    </row>
    <row r="21" spans="1:8" ht="20.100000000000001" customHeight="1" x14ac:dyDescent="0.15">
      <c r="A21" s="3" t="s">
        <v>226</v>
      </c>
      <c r="B21" s="338"/>
    </row>
    <row r="22" spans="1:8" ht="20.100000000000001" customHeight="1" x14ac:dyDescent="0.15">
      <c r="B22" s="338"/>
    </row>
    <row r="23" spans="1:8" ht="20.100000000000001" customHeight="1" x14ac:dyDescent="0.15">
      <c r="B23" s="338"/>
    </row>
    <row r="24" spans="1:8" ht="20.100000000000001" customHeight="1" x14ac:dyDescent="0.15"/>
    <row r="25" spans="1:8" ht="20.100000000000001" customHeight="1" x14ac:dyDescent="0.15"/>
    <row r="26" spans="1:8" ht="20.100000000000001" customHeight="1" x14ac:dyDescent="0.15"/>
    <row r="27" spans="1:8" ht="20.100000000000001" customHeight="1" x14ac:dyDescent="0.15"/>
    <row r="28" spans="1:8" ht="20.100000000000001" customHeight="1" x14ac:dyDescent="0.15"/>
    <row r="29" spans="1:8" ht="20.100000000000001" customHeight="1" x14ac:dyDescent="0.15"/>
    <row r="30" spans="1:8" ht="20.100000000000001" customHeight="1" x14ac:dyDescent="0.15"/>
    <row r="31" spans="1:8" ht="20.100000000000001" customHeight="1" x14ac:dyDescent="0.15"/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117"/>
  <sheetViews>
    <sheetView workbookViewId="0"/>
  </sheetViews>
  <sheetFormatPr defaultRowHeight="12" x14ac:dyDescent="0.15"/>
  <cols>
    <col min="1" max="1" width="3.7109375" style="3" customWidth="1"/>
    <col min="2" max="2" width="20" style="3" customWidth="1"/>
    <col min="3" max="3" width="1.7109375" style="3" customWidth="1"/>
    <col min="4" max="4" width="12" style="3" customWidth="1"/>
    <col min="5" max="5" width="7.7109375" style="3" customWidth="1"/>
    <col min="6" max="6" width="12" style="3" customWidth="1"/>
    <col min="7" max="7" width="7.42578125" style="3" customWidth="1"/>
    <col min="8" max="8" width="12" style="3" customWidth="1"/>
    <col min="9" max="9" width="7.7109375" style="3" customWidth="1"/>
    <col min="10" max="10" width="12" style="3" customWidth="1"/>
    <col min="11" max="11" width="7.7109375" style="3" customWidth="1"/>
    <col min="12" max="12" width="12" style="3" customWidth="1"/>
    <col min="13" max="13" width="7.7109375" style="3" customWidth="1"/>
    <col min="14" max="14" width="12" style="3" customWidth="1"/>
    <col min="15" max="15" width="7.7109375" style="3" customWidth="1"/>
    <col min="16" max="16" width="12" style="3" customWidth="1"/>
    <col min="17" max="17" width="7.7109375" style="3" customWidth="1"/>
    <col min="18" max="16384" width="9.140625" style="3"/>
  </cols>
  <sheetData>
    <row r="1" spans="1:17" s="68" customFormat="1" ht="11.25" customHeight="1" x14ac:dyDescent="0.15">
      <c r="A1" s="68" t="s">
        <v>424</v>
      </c>
    </row>
    <row r="2" spans="1:17" ht="39.950000000000003" customHeight="1" x14ac:dyDescent="0.15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68" customFormat="1" ht="14.25" customHeight="1" x14ac:dyDescent="0.15">
      <c r="Q3" s="354" t="s">
        <v>48</v>
      </c>
    </row>
    <row r="4" spans="1:17" s="68" customFormat="1" ht="12" customHeight="1" x14ac:dyDescent="0.15">
      <c r="A4" s="69"/>
      <c r="B4" s="935" t="s">
        <v>82</v>
      </c>
      <c r="C4" s="30"/>
      <c r="D4" s="70" t="s">
        <v>221</v>
      </c>
      <c r="E4" s="71"/>
      <c r="F4" s="71"/>
      <c r="G4" s="71"/>
      <c r="H4" s="71"/>
      <c r="I4" s="71"/>
      <c r="J4" s="71"/>
      <c r="K4" s="72"/>
      <c r="L4" s="70" t="s">
        <v>220</v>
      </c>
      <c r="M4" s="71"/>
      <c r="N4" s="71"/>
      <c r="O4" s="71"/>
      <c r="P4" s="71"/>
      <c r="Q4" s="72"/>
    </row>
    <row r="5" spans="1:17" s="68" customFormat="1" ht="12" customHeight="1" x14ac:dyDescent="0.15">
      <c r="A5" s="73"/>
      <c r="B5" s="936"/>
      <c r="C5" s="74"/>
      <c r="D5" s="70" t="s">
        <v>222</v>
      </c>
      <c r="E5" s="72"/>
      <c r="F5" s="938" t="s">
        <v>223</v>
      </c>
      <c r="G5" s="939"/>
      <c r="H5" s="70" t="s">
        <v>224</v>
      </c>
      <c r="I5" s="72"/>
      <c r="J5" s="36" t="s">
        <v>225</v>
      </c>
      <c r="K5" s="36"/>
      <c r="L5" s="36" t="s">
        <v>79</v>
      </c>
      <c r="M5" s="36"/>
      <c r="N5" s="36" t="s">
        <v>418</v>
      </c>
      <c r="O5" s="36"/>
      <c r="P5" s="36" t="s">
        <v>431</v>
      </c>
      <c r="Q5" s="36"/>
    </row>
    <row r="6" spans="1:17" s="68" customFormat="1" ht="12" customHeight="1" x14ac:dyDescent="0.15">
      <c r="A6" s="31"/>
      <c r="B6" s="937"/>
      <c r="C6" s="32"/>
      <c r="D6" s="48" t="s">
        <v>80</v>
      </c>
      <c r="E6" s="48" t="s">
        <v>78</v>
      </c>
      <c r="F6" s="48" t="s">
        <v>80</v>
      </c>
      <c r="G6" s="48" t="s">
        <v>78</v>
      </c>
      <c r="H6" s="48" t="s">
        <v>80</v>
      </c>
      <c r="I6" s="48" t="s">
        <v>78</v>
      </c>
      <c r="J6" s="48" t="s">
        <v>80</v>
      </c>
      <c r="K6" s="48" t="s">
        <v>78</v>
      </c>
      <c r="L6" s="48" t="s">
        <v>80</v>
      </c>
      <c r="M6" s="48" t="s">
        <v>78</v>
      </c>
      <c r="N6" s="48" t="s">
        <v>80</v>
      </c>
      <c r="O6" s="48" t="s">
        <v>78</v>
      </c>
      <c r="P6" s="48" t="s">
        <v>80</v>
      </c>
      <c r="Q6" s="48" t="s">
        <v>78</v>
      </c>
    </row>
    <row r="7" spans="1:17" s="68" customFormat="1" ht="12" customHeight="1" x14ac:dyDescent="0.15">
      <c r="A7" s="6"/>
      <c r="B7" s="217" t="s">
        <v>42</v>
      </c>
      <c r="C7" s="75"/>
      <c r="D7" s="145">
        <v>4297220.9785109842</v>
      </c>
      <c r="E7" s="87"/>
      <c r="F7" s="145">
        <v>4555256.141433835</v>
      </c>
      <c r="G7" s="87"/>
      <c r="H7" s="145">
        <v>12418487.420716368</v>
      </c>
      <c r="I7" s="87"/>
      <c r="J7" s="145">
        <v>1629261.4863078808</v>
      </c>
      <c r="K7" s="87"/>
      <c r="L7" s="145">
        <v>340319.23088930693</v>
      </c>
      <c r="M7" s="87"/>
      <c r="N7" s="145">
        <v>1060301.1425910818</v>
      </c>
      <c r="O7" s="87"/>
      <c r="P7" s="145">
        <v>3477510.7319249962</v>
      </c>
      <c r="Q7" s="87"/>
    </row>
    <row r="8" spans="1:17" s="68" customFormat="1" ht="12" customHeight="1" x14ac:dyDescent="0.15">
      <c r="A8" s="7"/>
      <c r="B8" s="218" t="s">
        <v>170</v>
      </c>
      <c r="C8" s="76"/>
      <c r="D8" s="145">
        <v>1229131.2404265942</v>
      </c>
      <c r="E8" s="87"/>
      <c r="F8" s="145">
        <v>898152.9561028739</v>
      </c>
      <c r="G8" s="87"/>
      <c r="H8" s="145">
        <v>2832794.0292872726</v>
      </c>
      <c r="I8" s="87"/>
      <c r="J8" s="145">
        <v>359209.00678817776</v>
      </c>
      <c r="K8" s="87"/>
      <c r="L8" s="145">
        <v>119890.68531852419</v>
      </c>
      <c r="M8" s="87"/>
      <c r="N8" s="145">
        <v>337073.68224640214</v>
      </c>
      <c r="O8" s="87"/>
      <c r="P8" s="145">
        <v>767039.68340208277</v>
      </c>
      <c r="Q8" s="87"/>
    </row>
    <row r="9" spans="1:17" s="68" customFormat="1" ht="12" customHeight="1" x14ac:dyDescent="0.15">
      <c r="A9" s="7"/>
      <c r="B9" s="218" t="s">
        <v>0</v>
      </c>
      <c r="C9" s="76"/>
      <c r="D9" s="145">
        <v>225384.72039346508</v>
      </c>
      <c r="E9" s="87"/>
      <c r="F9" s="145">
        <v>403024.50930456811</v>
      </c>
      <c r="G9" s="87"/>
      <c r="H9" s="145">
        <v>859117.29830181808</v>
      </c>
      <c r="I9" s="87"/>
      <c r="J9" s="145">
        <v>162930.38378325116</v>
      </c>
      <c r="K9" s="87"/>
      <c r="L9" s="145">
        <v>51407.568568524075</v>
      </c>
      <c r="M9" s="87"/>
      <c r="N9" s="145">
        <v>127230.1618275173</v>
      </c>
      <c r="O9" s="87"/>
      <c r="P9" s="145">
        <v>310228.5500635418</v>
      </c>
      <c r="Q9" s="87"/>
    </row>
    <row r="10" spans="1:17" s="68" customFormat="1" ht="12" customHeight="1" x14ac:dyDescent="0.15">
      <c r="A10" s="7"/>
      <c r="B10" s="218" t="s">
        <v>43</v>
      </c>
      <c r="C10" s="76"/>
      <c r="D10" s="145">
        <v>2324036.8317920044</v>
      </c>
      <c r="E10" s="87"/>
      <c r="F10" s="145">
        <v>2372150.7923394251</v>
      </c>
      <c r="G10" s="87"/>
      <c r="H10" s="145">
        <v>7149555.0400654543</v>
      </c>
      <c r="I10" s="87"/>
      <c r="J10" s="145">
        <v>901491.3529359604</v>
      </c>
      <c r="K10" s="87"/>
      <c r="L10" s="145">
        <v>114264.71159939759</v>
      </c>
      <c r="M10" s="87"/>
      <c r="N10" s="145">
        <v>445401.29774732928</v>
      </c>
      <c r="O10" s="87"/>
      <c r="P10" s="145">
        <v>1888133.7785041663</v>
      </c>
      <c r="Q10" s="87"/>
    </row>
    <row r="11" spans="1:17" s="68" customFormat="1" ht="12" customHeight="1" x14ac:dyDescent="0.15">
      <c r="A11" s="15"/>
      <c r="B11" s="219" t="s">
        <v>44</v>
      </c>
      <c r="C11" s="77"/>
      <c r="D11" s="146">
        <v>1454515.9608200593</v>
      </c>
      <c r="E11" s="88">
        <v>1</v>
      </c>
      <c r="F11" s="146">
        <v>1301177.4654074421</v>
      </c>
      <c r="G11" s="88">
        <v>1</v>
      </c>
      <c r="H11" s="146">
        <v>3691911.3275890909</v>
      </c>
      <c r="I11" s="88">
        <v>1</v>
      </c>
      <c r="J11" s="146">
        <v>522139.39057142893</v>
      </c>
      <c r="K11" s="88">
        <v>1</v>
      </c>
      <c r="L11" s="146">
        <v>171298.25388704828</v>
      </c>
      <c r="M11" s="88">
        <v>1</v>
      </c>
      <c r="N11" s="146">
        <v>464303.84407391946</v>
      </c>
      <c r="O11" s="88">
        <v>1</v>
      </c>
      <c r="P11" s="146">
        <v>1077268.2334656245</v>
      </c>
      <c r="Q11" s="88">
        <v>1</v>
      </c>
    </row>
    <row r="12" spans="1:17" s="68" customFormat="1" ht="12" customHeight="1" x14ac:dyDescent="0.15">
      <c r="A12" s="6"/>
      <c r="B12" s="217" t="s">
        <v>45</v>
      </c>
      <c r="C12" s="75"/>
      <c r="D12" s="147">
        <v>518668.18581949314</v>
      </c>
      <c r="E12" s="148">
        <v>0.35659000000000002</v>
      </c>
      <c r="F12" s="147">
        <v>881927.88380440068</v>
      </c>
      <c r="G12" s="89">
        <v>0.67779</v>
      </c>
      <c r="H12" s="147">
        <v>1577021.0530618187</v>
      </c>
      <c r="I12" s="89">
        <v>0.42715999999999998</v>
      </c>
      <c r="J12" s="147">
        <v>205630.74280049256</v>
      </c>
      <c r="K12" s="89">
        <v>0.39382</v>
      </c>
      <c r="L12" s="147">
        <v>54756.265626505985</v>
      </c>
      <c r="M12" s="89">
        <v>0.31964999999999999</v>
      </c>
      <c r="N12" s="147">
        <v>150596.0006342401</v>
      </c>
      <c r="O12" s="89">
        <v>0.32435000000000003</v>
      </c>
      <c r="P12" s="147">
        <v>512108.71995520772</v>
      </c>
      <c r="Q12" s="89">
        <v>0.47538000000000002</v>
      </c>
    </row>
    <row r="13" spans="1:17" s="68" customFormat="1" ht="12" customHeight="1" x14ac:dyDescent="0.15">
      <c r="A13" s="79" t="s">
        <v>49</v>
      </c>
      <c r="B13" s="218" t="s">
        <v>46</v>
      </c>
      <c r="C13" s="76"/>
      <c r="D13" s="147"/>
      <c r="E13" s="149"/>
      <c r="F13" s="147"/>
      <c r="G13" s="89"/>
      <c r="H13" s="147"/>
      <c r="I13" s="89"/>
      <c r="J13" s="147"/>
      <c r="K13" s="89"/>
      <c r="L13" s="147"/>
      <c r="M13" s="89"/>
      <c r="N13" s="147"/>
      <c r="O13" s="89"/>
      <c r="P13" s="147"/>
      <c r="Q13" s="89"/>
    </row>
    <row r="14" spans="1:17" s="68" customFormat="1" ht="12" customHeight="1" x14ac:dyDescent="0.15">
      <c r="A14" s="79" t="s">
        <v>50</v>
      </c>
      <c r="B14" s="218" t="s">
        <v>29</v>
      </c>
      <c r="C14" s="76"/>
      <c r="D14" s="147">
        <v>8209.6162997183146</v>
      </c>
      <c r="E14" s="149">
        <v>5.64E-3</v>
      </c>
      <c r="F14" s="147">
        <v>8980.6759844331518</v>
      </c>
      <c r="G14" s="89">
        <v>6.8999999999999999E-3</v>
      </c>
      <c r="H14" s="147">
        <v>28311.645218181813</v>
      </c>
      <c r="I14" s="89">
        <v>7.6699999999999997E-3</v>
      </c>
      <c r="J14" s="147">
        <v>918.80085221674847</v>
      </c>
      <c r="K14" s="89">
        <v>1.7600000000000001E-3</v>
      </c>
      <c r="L14" s="147">
        <v>201.52996197289161</v>
      </c>
      <c r="M14" s="89">
        <v>1.1800000000000001E-3</v>
      </c>
      <c r="N14" s="147">
        <v>688.65214855433885</v>
      </c>
      <c r="O14" s="89">
        <v>1.48E-3</v>
      </c>
      <c r="P14" s="147">
        <v>3890.1074437499992</v>
      </c>
      <c r="Q14" s="89">
        <v>3.6099999999999999E-3</v>
      </c>
    </row>
    <row r="15" spans="1:17" s="68" customFormat="1" ht="12" customHeight="1" x14ac:dyDescent="0.15">
      <c r="A15" s="79" t="s">
        <v>51</v>
      </c>
      <c r="B15" s="218" t="s">
        <v>47</v>
      </c>
      <c r="C15" s="76"/>
      <c r="D15" s="147"/>
      <c r="E15" s="149"/>
      <c r="F15" s="147"/>
      <c r="G15" s="89"/>
      <c r="H15" s="147">
        <v>11100.216865454544</v>
      </c>
      <c r="I15" s="89"/>
      <c r="J15" s="147"/>
      <c r="K15" s="89"/>
      <c r="L15" s="147"/>
      <c r="M15" s="89"/>
      <c r="N15" s="147"/>
      <c r="O15" s="89"/>
      <c r="P15" s="147"/>
      <c r="Q15" s="89"/>
    </row>
    <row r="16" spans="1:17" s="68" customFormat="1" ht="12" customHeight="1" x14ac:dyDescent="0.15">
      <c r="A16" s="79" t="s">
        <v>52</v>
      </c>
      <c r="B16" s="218" t="s">
        <v>194</v>
      </c>
      <c r="C16" s="76"/>
      <c r="D16" s="147"/>
      <c r="E16" s="149"/>
      <c r="F16" s="147"/>
      <c r="G16" s="89"/>
      <c r="H16" s="147"/>
      <c r="I16" s="89"/>
      <c r="J16" s="147"/>
      <c r="K16" s="89"/>
      <c r="L16" s="147"/>
      <c r="M16" s="89"/>
      <c r="N16" s="147"/>
      <c r="O16" s="89"/>
      <c r="P16" s="147"/>
      <c r="Q16" s="89"/>
    </row>
    <row r="17" spans="1:17" s="68" customFormat="1" ht="12" customHeight="1" x14ac:dyDescent="0.15">
      <c r="A17" s="79" t="s">
        <v>53</v>
      </c>
      <c r="B17" s="218" t="s">
        <v>658</v>
      </c>
      <c r="C17" s="76"/>
      <c r="D17" s="147"/>
      <c r="E17" s="149"/>
      <c r="F17" s="147"/>
      <c r="G17" s="89"/>
      <c r="H17" s="147"/>
      <c r="I17" s="89"/>
      <c r="J17" s="147"/>
      <c r="K17" s="89"/>
      <c r="L17" s="147"/>
      <c r="M17" s="89"/>
      <c r="N17" s="147"/>
      <c r="O17" s="89"/>
      <c r="P17" s="147"/>
      <c r="Q17" s="89"/>
    </row>
    <row r="18" spans="1:17" s="68" customFormat="1" ht="12" customHeight="1" x14ac:dyDescent="0.15">
      <c r="A18" s="79" t="s">
        <v>54</v>
      </c>
      <c r="B18" s="218" t="s">
        <v>659</v>
      </c>
      <c r="C18" s="76"/>
      <c r="D18" s="147"/>
      <c r="E18" s="149"/>
      <c r="F18" s="147"/>
      <c r="G18" s="89"/>
      <c r="H18" s="147"/>
      <c r="I18" s="89"/>
      <c r="J18" s="147"/>
      <c r="K18" s="89"/>
      <c r="L18" s="147"/>
      <c r="M18" s="89"/>
      <c r="N18" s="147"/>
      <c r="O18" s="89"/>
      <c r="P18" s="147"/>
      <c r="Q18" s="89"/>
    </row>
    <row r="19" spans="1:17" s="68" customFormat="1" ht="12" customHeight="1" x14ac:dyDescent="0.15">
      <c r="A19" s="79" t="s">
        <v>55</v>
      </c>
      <c r="B19" s="218" t="s">
        <v>660</v>
      </c>
      <c r="C19" s="76"/>
      <c r="D19" s="147"/>
      <c r="E19" s="149"/>
      <c r="F19" s="147"/>
      <c r="G19" s="89"/>
      <c r="H19" s="147"/>
      <c r="I19" s="89"/>
      <c r="J19" s="147"/>
      <c r="K19" s="89"/>
      <c r="L19" s="147"/>
      <c r="M19" s="89"/>
      <c r="N19" s="147"/>
      <c r="O19" s="89"/>
      <c r="P19" s="147"/>
      <c r="Q19" s="89"/>
    </row>
    <row r="20" spans="1:17" s="68" customFormat="1" ht="12" customHeight="1" x14ac:dyDescent="0.15">
      <c r="A20" s="79" t="s">
        <v>56</v>
      </c>
      <c r="B20" s="218" t="s">
        <v>661</v>
      </c>
      <c r="C20" s="76"/>
      <c r="D20" s="147"/>
      <c r="E20" s="149"/>
      <c r="F20" s="147"/>
      <c r="G20" s="89"/>
      <c r="H20" s="147"/>
      <c r="I20" s="89"/>
      <c r="J20" s="147"/>
      <c r="K20" s="89"/>
      <c r="L20" s="147"/>
      <c r="M20" s="89"/>
      <c r="N20" s="147"/>
      <c r="O20" s="89"/>
      <c r="P20" s="147"/>
      <c r="Q20" s="89"/>
    </row>
    <row r="21" spans="1:17" s="68" customFormat="1" ht="12" customHeight="1" x14ac:dyDescent="0.15">
      <c r="A21" s="79" t="s">
        <v>57</v>
      </c>
      <c r="B21" s="218" t="s">
        <v>662</v>
      </c>
      <c r="C21" s="76"/>
      <c r="D21" s="147"/>
      <c r="E21" s="149"/>
      <c r="F21" s="147"/>
      <c r="G21" s="89"/>
      <c r="H21" s="147"/>
      <c r="I21" s="89"/>
      <c r="J21" s="147"/>
      <c r="K21" s="89"/>
      <c r="L21" s="147"/>
      <c r="M21" s="89"/>
      <c r="N21" s="147"/>
      <c r="O21" s="89"/>
      <c r="P21" s="147"/>
      <c r="Q21" s="89"/>
    </row>
    <row r="22" spans="1:17" s="68" customFormat="1" ht="12" customHeight="1" x14ac:dyDescent="0.15">
      <c r="A22" s="79" t="s">
        <v>58</v>
      </c>
      <c r="B22" s="218" t="s">
        <v>663</v>
      </c>
      <c r="C22" s="76"/>
      <c r="D22" s="147"/>
      <c r="E22" s="149"/>
      <c r="F22" s="147"/>
      <c r="G22" s="89"/>
      <c r="H22" s="147"/>
      <c r="I22" s="89"/>
      <c r="J22" s="147"/>
      <c r="K22" s="89"/>
      <c r="L22" s="147"/>
      <c r="M22" s="89"/>
      <c r="N22" s="147"/>
      <c r="O22" s="89"/>
      <c r="P22" s="147"/>
      <c r="Q22" s="89"/>
    </row>
    <row r="23" spans="1:17" s="68" customFormat="1" ht="12" customHeight="1" x14ac:dyDescent="0.15">
      <c r="A23" s="79" t="s">
        <v>59</v>
      </c>
      <c r="B23" s="218" t="s">
        <v>664</v>
      </c>
      <c r="C23" s="76"/>
      <c r="D23" s="147"/>
      <c r="E23" s="149"/>
      <c r="F23" s="147"/>
      <c r="G23" s="89"/>
      <c r="H23" s="147"/>
      <c r="I23" s="89"/>
      <c r="J23" s="147"/>
      <c r="K23" s="89"/>
      <c r="L23" s="147"/>
      <c r="M23" s="89"/>
      <c r="N23" s="147"/>
      <c r="O23" s="89"/>
      <c r="P23" s="147"/>
      <c r="Q23" s="89"/>
    </row>
    <row r="24" spans="1:17" s="68" customFormat="1" ht="12" customHeight="1" x14ac:dyDescent="0.15">
      <c r="A24" s="79" t="s">
        <v>60</v>
      </c>
      <c r="B24" s="218" t="s">
        <v>665</v>
      </c>
      <c r="C24" s="76"/>
      <c r="D24" s="147">
        <v>29379.350873690211</v>
      </c>
      <c r="E24" s="149">
        <v>2.0199999999999999E-2</v>
      </c>
      <c r="F24" s="147">
        <v>57276.227935702183</v>
      </c>
      <c r="G24" s="89">
        <v>4.4019999999999997E-2</v>
      </c>
      <c r="H24" s="147">
        <v>126710.78658181825</v>
      </c>
      <c r="I24" s="89">
        <v>3.4320000000000003E-2</v>
      </c>
      <c r="J24" s="147">
        <v>14130.67783990148</v>
      </c>
      <c r="K24" s="89">
        <v>2.7060000000000001E-2</v>
      </c>
      <c r="L24" s="147">
        <v>2325.5415975150599</v>
      </c>
      <c r="M24" s="89">
        <v>1.358E-2</v>
      </c>
      <c r="N24" s="147">
        <v>7915.3762472582594</v>
      </c>
      <c r="O24" s="89">
        <v>1.7049999999999999E-2</v>
      </c>
      <c r="P24" s="147">
        <v>31542.798132291678</v>
      </c>
      <c r="Q24" s="89">
        <v>2.928E-2</v>
      </c>
    </row>
    <row r="25" spans="1:17" s="68" customFormat="1" ht="12" customHeight="1" x14ac:dyDescent="0.15">
      <c r="A25" s="79" t="s">
        <v>61</v>
      </c>
      <c r="B25" s="218" t="s">
        <v>666</v>
      </c>
      <c r="C25" s="76"/>
      <c r="D25" s="147"/>
      <c r="E25" s="149"/>
      <c r="F25" s="147"/>
      <c r="G25" s="89"/>
      <c r="H25" s="147"/>
      <c r="I25" s="89"/>
      <c r="J25" s="147"/>
      <c r="K25" s="89"/>
      <c r="L25" s="147"/>
      <c r="M25" s="89"/>
      <c r="N25" s="147"/>
      <c r="O25" s="89"/>
      <c r="P25" s="147"/>
      <c r="Q25" s="89"/>
    </row>
    <row r="26" spans="1:17" s="68" customFormat="1" ht="12" customHeight="1" x14ac:dyDescent="0.15">
      <c r="A26" s="79" t="s">
        <v>62</v>
      </c>
      <c r="B26" s="218" t="s">
        <v>667</v>
      </c>
      <c r="C26" s="76"/>
      <c r="D26" s="147"/>
      <c r="E26" s="149"/>
      <c r="F26" s="147"/>
      <c r="G26" s="89"/>
      <c r="H26" s="147"/>
      <c r="I26" s="89"/>
      <c r="J26" s="147"/>
      <c r="K26" s="89"/>
      <c r="L26" s="147"/>
      <c r="M26" s="89"/>
      <c r="N26" s="147"/>
      <c r="O26" s="89"/>
      <c r="P26" s="147"/>
      <c r="Q26" s="89"/>
    </row>
    <row r="27" spans="1:17" s="68" customFormat="1" ht="12" customHeight="1" x14ac:dyDescent="0.15">
      <c r="A27" s="79" t="s">
        <v>63</v>
      </c>
      <c r="B27" s="218" t="s">
        <v>668</v>
      </c>
      <c r="C27" s="76"/>
      <c r="D27" s="147"/>
      <c r="E27" s="149"/>
      <c r="F27" s="147"/>
      <c r="G27" s="89"/>
      <c r="H27" s="147"/>
      <c r="I27" s="89"/>
      <c r="J27" s="147"/>
      <c r="K27" s="89"/>
      <c r="L27" s="147"/>
      <c r="M27" s="89"/>
      <c r="N27" s="147"/>
      <c r="O27" s="89"/>
      <c r="P27" s="147"/>
      <c r="Q27" s="89"/>
    </row>
    <row r="28" spans="1:17" s="68" customFormat="1" ht="12" customHeight="1" x14ac:dyDescent="0.15">
      <c r="A28" s="79" t="s">
        <v>64</v>
      </c>
      <c r="B28" s="218" t="s">
        <v>669</v>
      </c>
      <c r="C28" s="76"/>
      <c r="D28" s="147">
        <v>16194.969330478847</v>
      </c>
      <c r="E28" s="149">
        <v>1.1129999999999999E-2</v>
      </c>
      <c r="F28" s="147">
        <v>24315.802126903545</v>
      </c>
      <c r="G28" s="89">
        <v>1.8689999999999998E-2</v>
      </c>
      <c r="H28" s="147">
        <v>31182.074756363629</v>
      </c>
      <c r="I28" s="89">
        <v>8.4499999999999992E-3</v>
      </c>
      <c r="J28" s="147">
        <v>8555.4375689655153</v>
      </c>
      <c r="K28" s="89">
        <v>1.6389999999999998E-2</v>
      </c>
      <c r="L28" s="147">
        <v>3030.9911046686734</v>
      </c>
      <c r="M28" s="89">
        <v>1.7690000000000001E-2</v>
      </c>
      <c r="N28" s="147">
        <v>8126.1448608460241</v>
      </c>
      <c r="O28" s="89">
        <v>1.7500000000000002E-2</v>
      </c>
      <c r="P28" s="147">
        <v>21298.718565624997</v>
      </c>
      <c r="Q28" s="89">
        <v>1.9769999999999999E-2</v>
      </c>
    </row>
    <row r="29" spans="1:17" s="68" customFormat="1" ht="12" customHeight="1" x14ac:dyDescent="0.15">
      <c r="A29" s="79" t="s">
        <v>65</v>
      </c>
      <c r="B29" s="218" t="s">
        <v>670</v>
      </c>
      <c r="C29" s="76"/>
      <c r="D29" s="147">
        <v>4462.3605843380328</v>
      </c>
      <c r="E29" s="149">
        <v>3.0699999999999998E-3</v>
      </c>
      <c r="F29" s="147">
        <v>10097.158708291017</v>
      </c>
      <c r="G29" s="89">
        <v>7.7600000000000004E-3</v>
      </c>
      <c r="H29" s="147">
        <v>39081.8917890909</v>
      </c>
      <c r="I29" s="89">
        <v>1.059E-2</v>
      </c>
      <c r="J29" s="147">
        <v>3361.2117118226583</v>
      </c>
      <c r="K29" s="89">
        <v>6.4400000000000004E-3</v>
      </c>
      <c r="L29" s="147">
        <v>634.49564608433707</v>
      </c>
      <c r="M29" s="89">
        <v>3.7000000000000002E-3</v>
      </c>
      <c r="N29" s="147">
        <v>1809.2465331149408</v>
      </c>
      <c r="O29" s="89">
        <v>3.8999999999999998E-3</v>
      </c>
      <c r="P29" s="147">
        <v>6982.4336437500051</v>
      </c>
      <c r="Q29" s="89">
        <v>6.4799999999999996E-3</v>
      </c>
    </row>
    <row r="30" spans="1:17" s="68" customFormat="1" ht="12" customHeight="1" x14ac:dyDescent="0.15">
      <c r="A30" s="79" t="s">
        <v>66</v>
      </c>
      <c r="B30" s="218" t="s">
        <v>671</v>
      </c>
      <c r="C30" s="76"/>
      <c r="D30" s="147">
        <v>42165.948795380194</v>
      </c>
      <c r="E30" s="149">
        <v>2.8989999999999998E-2</v>
      </c>
      <c r="F30" s="147">
        <v>7438.8665133671775</v>
      </c>
      <c r="G30" s="89">
        <v>5.7200000000000003E-3</v>
      </c>
      <c r="H30" s="147">
        <v>15688.209625454541</v>
      </c>
      <c r="I30" s="89">
        <v>4.2500000000000003E-3</v>
      </c>
      <c r="J30" s="147">
        <v>3764.0331748768467</v>
      </c>
      <c r="K30" s="89">
        <v>7.2100000000000003E-3</v>
      </c>
      <c r="L30" s="147">
        <v>307.45980195783153</v>
      </c>
      <c r="M30" s="89">
        <v>1.7899999999999999E-3</v>
      </c>
      <c r="N30" s="147">
        <v>1311.245816407918</v>
      </c>
      <c r="O30" s="89">
        <v>2.82E-3</v>
      </c>
      <c r="P30" s="147">
        <v>6680.4823895833406</v>
      </c>
      <c r="Q30" s="89">
        <v>6.1999999999999998E-3</v>
      </c>
    </row>
    <row r="31" spans="1:17" s="68" customFormat="1" ht="12" customHeight="1" x14ac:dyDescent="0.15">
      <c r="A31" s="79" t="s">
        <v>67</v>
      </c>
      <c r="B31" s="218" t="s">
        <v>672</v>
      </c>
      <c r="C31" s="76"/>
      <c r="D31" s="147"/>
      <c r="E31" s="149"/>
      <c r="F31" s="147"/>
      <c r="G31" s="89"/>
      <c r="H31" s="147"/>
      <c r="I31" s="89"/>
      <c r="J31" s="147"/>
      <c r="K31" s="89"/>
      <c r="L31" s="147"/>
      <c r="M31" s="89"/>
      <c r="N31" s="147"/>
      <c r="O31" s="89"/>
      <c r="P31" s="147"/>
      <c r="Q31" s="89"/>
    </row>
    <row r="32" spans="1:17" s="68" customFormat="1" ht="12" customHeight="1" x14ac:dyDescent="0.15">
      <c r="A32" s="79" t="s">
        <v>68</v>
      </c>
      <c r="B32" s="218" t="s">
        <v>673</v>
      </c>
      <c r="C32" s="76"/>
      <c r="D32" s="147">
        <v>1045.4583998873252</v>
      </c>
      <c r="E32" s="149">
        <v>7.2000000000000005E-4</v>
      </c>
      <c r="F32" s="147">
        <v>3732.1587813874817</v>
      </c>
      <c r="G32" s="89">
        <v>2.8700000000000002E-3</v>
      </c>
      <c r="H32" s="147">
        <v>6172.0615236363628</v>
      </c>
      <c r="I32" s="89">
        <v>1.67E-3</v>
      </c>
      <c r="J32" s="147">
        <v>511.03927586206891</v>
      </c>
      <c r="K32" s="89">
        <v>9.7999999999999997E-4</v>
      </c>
      <c r="L32" s="147">
        <v>46.557501506024096</v>
      </c>
      <c r="M32" s="89">
        <v>2.7E-4</v>
      </c>
      <c r="N32" s="147">
        <v>243.58129454493627</v>
      </c>
      <c r="O32" s="89">
        <v>5.1999999999999995E-4</v>
      </c>
      <c r="P32" s="147">
        <v>1135.701555208333</v>
      </c>
      <c r="Q32" s="89">
        <v>1.0499999999999999E-3</v>
      </c>
    </row>
    <row r="33" spans="1:17" s="68" customFormat="1" ht="12" customHeight="1" x14ac:dyDescent="0.15">
      <c r="A33" s="79" t="s">
        <v>69</v>
      </c>
      <c r="B33" s="218" t="s">
        <v>674</v>
      </c>
      <c r="C33" s="76"/>
      <c r="D33" s="147">
        <v>99620.033508845037</v>
      </c>
      <c r="E33" s="149">
        <v>6.8489999999999995E-2</v>
      </c>
      <c r="F33" s="147">
        <v>152591.35004703896</v>
      </c>
      <c r="G33" s="89">
        <v>0.11727</v>
      </c>
      <c r="H33" s="147">
        <v>656054.87636363634</v>
      </c>
      <c r="I33" s="89">
        <v>0.1777</v>
      </c>
      <c r="J33" s="147">
        <v>17064.205911330038</v>
      </c>
      <c r="K33" s="89">
        <v>3.2680000000000001E-2</v>
      </c>
      <c r="L33" s="147">
        <v>3198.230648343374</v>
      </c>
      <c r="M33" s="89">
        <v>1.8669999999999999E-2</v>
      </c>
      <c r="N33" s="147">
        <v>11102.072053553646</v>
      </c>
      <c r="O33" s="89">
        <v>2.3910000000000001E-2</v>
      </c>
      <c r="P33" s="147">
        <v>46164.090274999937</v>
      </c>
      <c r="Q33" s="89">
        <v>4.2849999999999999E-2</v>
      </c>
    </row>
    <row r="34" spans="1:17" s="68" customFormat="1" ht="12" customHeight="1" x14ac:dyDescent="0.15">
      <c r="A34" s="79" t="s">
        <v>70</v>
      </c>
      <c r="B34" s="218" t="s">
        <v>675</v>
      </c>
      <c r="C34" s="76"/>
      <c r="D34" s="13"/>
      <c r="E34" s="80"/>
      <c r="F34" s="13"/>
      <c r="G34" s="80"/>
      <c r="H34" s="13"/>
      <c r="I34" s="80"/>
      <c r="J34" s="11"/>
      <c r="K34" s="80"/>
      <c r="L34" s="11"/>
      <c r="M34" s="80"/>
      <c r="N34" s="13"/>
      <c r="O34" s="11"/>
      <c r="P34" s="11"/>
      <c r="Q34" s="11"/>
    </row>
    <row r="35" spans="1:17" s="68" customFormat="1" ht="12" customHeight="1" x14ac:dyDescent="0.15">
      <c r="A35" s="79" t="s">
        <v>71</v>
      </c>
      <c r="B35" s="218" t="s">
        <v>676</v>
      </c>
      <c r="C35" s="76"/>
      <c r="D35" s="13"/>
      <c r="E35" s="80"/>
      <c r="F35" s="13"/>
      <c r="G35" s="80"/>
      <c r="H35" s="13"/>
      <c r="I35" s="80"/>
      <c r="J35" s="11"/>
      <c r="K35" s="80"/>
      <c r="L35" s="11"/>
      <c r="M35" s="80"/>
      <c r="N35" s="13"/>
      <c r="O35" s="11"/>
      <c r="P35" s="11"/>
      <c r="Q35" s="11"/>
    </row>
    <row r="36" spans="1:17" s="68" customFormat="1" ht="12" customHeight="1" x14ac:dyDescent="0.15">
      <c r="A36" s="79" t="s">
        <v>72</v>
      </c>
      <c r="B36" s="218" t="s">
        <v>677</v>
      </c>
      <c r="C36" s="76"/>
      <c r="D36" s="13"/>
      <c r="E36" s="80"/>
      <c r="F36" s="13"/>
      <c r="G36" s="80"/>
      <c r="H36" s="13"/>
      <c r="I36" s="80"/>
      <c r="J36" s="11"/>
      <c r="K36" s="80"/>
      <c r="L36" s="11"/>
      <c r="M36" s="80"/>
      <c r="N36" s="13"/>
      <c r="O36" s="11"/>
      <c r="P36" s="11"/>
      <c r="Q36" s="11"/>
    </row>
    <row r="37" spans="1:17" s="68" customFormat="1" ht="12" customHeight="1" x14ac:dyDescent="0.15">
      <c r="A37" s="79" t="s">
        <v>73</v>
      </c>
      <c r="B37" s="218" t="s">
        <v>678</v>
      </c>
      <c r="C37" s="76"/>
      <c r="D37" s="13"/>
      <c r="E37" s="80"/>
      <c r="F37" s="13"/>
      <c r="G37" s="80"/>
      <c r="H37" s="13"/>
      <c r="I37" s="80"/>
      <c r="J37" s="11"/>
      <c r="K37" s="80"/>
      <c r="L37" s="11"/>
      <c r="M37" s="80"/>
      <c r="N37" s="13"/>
      <c r="O37" s="11"/>
      <c r="P37" s="11"/>
      <c r="Q37" s="11"/>
    </row>
    <row r="38" spans="1:17" s="68" customFormat="1" ht="12" customHeight="1" x14ac:dyDescent="0.15">
      <c r="A38" s="79" t="s">
        <v>74</v>
      </c>
      <c r="B38" s="218" t="s">
        <v>679</v>
      </c>
      <c r="C38" s="76"/>
      <c r="D38" s="13"/>
      <c r="E38" s="80"/>
      <c r="F38" s="13"/>
      <c r="G38" s="80"/>
      <c r="H38" s="13"/>
      <c r="I38" s="80"/>
      <c r="J38" s="11"/>
      <c r="K38" s="80"/>
      <c r="L38" s="11"/>
      <c r="M38" s="80"/>
      <c r="N38" s="13"/>
      <c r="O38" s="11"/>
      <c r="P38" s="11"/>
      <c r="Q38" s="11"/>
    </row>
    <row r="39" spans="1:17" s="68" customFormat="1" ht="12" customHeight="1" x14ac:dyDescent="0.15">
      <c r="A39" s="79" t="s">
        <v>75</v>
      </c>
      <c r="B39" s="218" t="s">
        <v>680</v>
      </c>
      <c r="C39" s="76"/>
      <c r="D39" s="13"/>
      <c r="E39" s="80"/>
      <c r="F39" s="13"/>
      <c r="G39" s="80"/>
      <c r="H39" s="13"/>
      <c r="I39" s="80"/>
      <c r="J39" s="11"/>
      <c r="K39" s="80"/>
      <c r="L39" s="11"/>
      <c r="M39" s="80"/>
      <c r="N39" s="13"/>
      <c r="O39" s="11"/>
      <c r="P39" s="11"/>
      <c r="Q39" s="11"/>
    </row>
    <row r="40" spans="1:17" s="68" customFormat="1" ht="12" customHeight="1" x14ac:dyDescent="0.15">
      <c r="A40" s="79" t="s">
        <v>76</v>
      </c>
      <c r="B40" s="218" t="s">
        <v>681</v>
      </c>
      <c r="C40" s="76"/>
      <c r="D40" s="13"/>
      <c r="E40" s="80"/>
      <c r="F40" s="13"/>
      <c r="G40" s="80"/>
      <c r="H40" s="13"/>
      <c r="I40" s="80"/>
      <c r="J40" s="11"/>
      <c r="K40" s="80"/>
      <c r="L40" s="11"/>
      <c r="M40" s="80"/>
      <c r="N40" s="13"/>
      <c r="O40" s="11"/>
      <c r="P40" s="11"/>
      <c r="Q40" s="11"/>
    </row>
    <row r="41" spans="1:17" s="68" customFormat="1" ht="12" customHeight="1" x14ac:dyDescent="0.15">
      <c r="A41" s="81" t="s">
        <v>77</v>
      </c>
      <c r="B41" s="219" t="s">
        <v>682</v>
      </c>
      <c r="C41" s="77"/>
      <c r="D41" s="78"/>
      <c r="E41" s="82"/>
      <c r="F41" s="78"/>
      <c r="G41" s="82"/>
      <c r="H41" s="78"/>
      <c r="I41" s="82"/>
      <c r="J41" s="18"/>
      <c r="K41" s="82"/>
      <c r="L41" s="18"/>
      <c r="M41" s="82"/>
      <c r="N41" s="78"/>
      <c r="O41" s="18"/>
      <c r="P41" s="18"/>
      <c r="Q41" s="18"/>
    </row>
    <row r="42" spans="1:17" s="68" customFormat="1" ht="12" customHeight="1" x14ac:dyDescent="0.15">
      <c r="A42" s="69"/>
      <c r="B42" s="935" t="s">
        <v>683</v>
      </c>
      <c r="C42" s="30"/>
      <c r="D42" s="70" t="s">
        <v>684</v>
      </c>
      <c r="E42" s="71"/>
      <c r="F42" s="71"/>
      <c r="G42" s="71"/>
      <c r="H42" s="71"/>
      <c r="I42" s="72"/>
      <c r="J42" s="70" t="s">
        <v>685</v>
      </c>
      <c r="K42" s="71"/>
      <c r="L42" s="71"/>
      <c r="M42" s="71"/>
      <c r="N42" s="71"/>
      <c r="O42" s="71"/>
      <c r="P42" s="71"/>
      <c r="Q42" s="72"/>
    </row>
    <row r="43" spans="1:17" s="68" customFormat="1" ht="12" customHeight="1" x14ac:dyDescent="0.15">
      <c r="A43" s="73"/>
      <c r="B43" s="936"/>
      <c r="C43" s="74"/>
      <c r="D43" s="70" t="s">
        <v>686</v>
      </c>
      <c r="E43" s="72"/>
      <c r="F43" s="70" t="s">
        <v>687</v>
      </c>
      <c r="G43" s="72"/>
      <c r="H43" s="70" t="s">
        <v>688</v>
      </c>
      <c r="I43" s="72"/>
      <c r="J43" s="70" t="s">
        <v>689</v>
      </c>
      <c r="K43" s="72"/>
      <c r="L43" s="70" t="s">
        <v>690</v>
      </c>
      <c r="M43" s="72"/>
      <c r="N43" s="70" t="s">
        <v>691</v>
      </c>
      <c r="O43" s="72"/>
      <c r="P43" s="70" t="s">
        <v>692</v>
      </c>
      <c r="Q43" s="72"/>
    </row>
    <row r="44" spans="1:17" s="68" customFormat="1" ht="12" customHeight="1" x14ac:dyDescent="0.15">
      <c r="A44" s="31"/>
      <c r="B44" s="937"/>
      <c r="C44" s="32"/>
      <c r="D44" s="48" t="s">
        <v>693</v>
      </c>
      <c r="E44" s="48" t="s">
        <v>694</v>
      </c>
      <c r="F44" s="48" t="s">
        <v>693</v>
      </c>
      <c r="G44" s="48" t="s">
        <v>694</v>
      </c>
      <c r="H44" s="48" t="s">
        <v>693</v>
      </c>
      <c r="I44" s="48" t="s">
        <v>694</v>
      </c>
      <c r="J44" s="48" t="s">
        <v>693</v>
      </c>
      <c r="K44" s="48" t="s">
        <v>694</v>
      </c>
      <c r="L44" s="48" t="s">
        <v>693</v>
      </c>
      <c r="M44" s="48" t="s">
        <v>694</v>
      </c>
      <c r="N44" s="48" t="s">
        <v>693</v>
      </c>
      <c r="O44" s="48" t="s">
        <v>694</v>
      </c>
      <c r="P44" s="48" t="s">
        <v>693</v>
      </c>
      <c r="Q44" s="48" t="s">
        <v>694</v>
      </c>
    </row>
    <row r="45" spans="1:17" s="68" customFormat="1" ht="12" customHeight="1" x14ac:dyDescent="0.15">
      <c r="A45" s="6"/>
      <c r="B45" s="217" t="s">
        <v>695</v>
      </c>
      <c r="C45" s="75"/>
      <c r="D45" s="145">
        <v>10144581.133314485</v>
      </c>
      <c r="E45" s="87"/>
      <c r="F45" s="145">
        <v>49251169.75795199</v>
      </c>
      <c r="G45" s="87"/>
      <c r="H45" s="145">
        <v>141518984.7432307</v>
      </c>
      <c r="I45" s="87"/>
      <c r="J45" s="145">
        <v>602551.08105394908</v>
      </c>
      <c r="K45" s="87"/>
      <c r="L45" s="145">
        <v>1087963.286376866</v>
      </c>
      <c r="M45" s="87"/>
      <c r="N45" s="145">
        <v>4262560.9737587124</v>
      </c>
      <c r="O45" s="87"/>
      <c r="P45" s="145">
        <v>27367144.320444372</v>
      </c>
      <c r="Q45" s="87"/>
    </row>
    <row r="46" spans="1:17" s="68" customFormat="1" ht="12" customHeight="1" x14ac:dyDescent="0.15">
      <c r="A46" s="7"/>
      <c r="B46" s="218" t="s">
        <v>696</v>
      </c>
      <c r="C46" s="76"/>
      <c r="D46" s="145">
        <v>1998272.4812041356</v>
      </c>
      <c r="E46" s="87"/>
      <c r="F46" s="145">
        <v>11692534.244930927</v>
      </c>
      <c r="G46" s="87"/>
      <c r="H46" s="145">
        <v>46977449.211516492</v>
      </c>
      <c r="I46" s="87"/>
      <c r="J46" s="145">
        <v>226800.57794664276</v>
      </c>
      <c r="K46" s="87"/>
      <c r="L46" s="145">
        <v>353613.81446703966</v>
      </c>
      <c r="M46" s="87"/>
      <c r="N46" s="145">
        <v>925042.27559937013</v>
      </c>
      <c r="O46" s="87"/>
      <c r="P46" s="145">
        <v>7081064.9478813065</v>
      </c>
      <c r="Q46" s="87"/>
    </row>
    <row r="47" spans="1:17" s="68" customFormat="1" ht="12" customHeight="1" x14ac:dyDescent="0.15">
      <c r="A47" s="7"/>
      <c r="B47" s="218" t="s">
        <v>697</v>
      </c>
      <c r="C47" s="76"/>
      <c r="D47" s="145">
        <v>660483.25022482616</v>
      </c>
      <c r="E47" s="87"/>
      <c r="F47" s="145">
        <v>2201338.6214354355</v>
      </c>
      <c r="G47" s="87"/>
      <c r="H47" s="145">
        <v>5222488.5846373625</v>
      </c>
      <c r="I47" s="87"/>
      <c r="J47" s="145">
        <v>76230.468765111291</v>
      </c>
      <c r="K47" s="87"/>
      <c r="L47" s="145">
        <v>133051.72373569646</v>
      </c>
      <c r="M47" s="87"/>
      <c r="N47" s="145">
        <v>319213.27539644373</v>
      </c>
      <c r="O47" s="87"/>
      <c r="P47" s="145">
        <v>1307908.9340556406</v>
      </c>
      <c r="Q47" s="87"/>
    </row>
    <row r="48" spans="1:17" s="68" customFormat="1" ht="12" customHeight="1" x14ac:dyDescent="0.15">
      <c r="A48" s="7"/>
      <c r="B48" s="218" t="s">
        <v>698</v>
      </c>
      <c r="C48" s="76"/>
      <c r="D48" s="145">
        <v>5955836.4016255178</v>
      </c>
      <c r="E48" s="87"/>
      <c r="F48" s="145">
        <v>28704751.770870857</v>
      </c>
      <c r="G48" s="87"/>
      <c r="H48" s="145">
        <v>71755631.471582398</v>
      </c>
      <c r="I48" s="87"/>
      <c r="J48" s="145">
        <v>223788.9709393582</v>
      </c>
      <c r="K48" s="87"/>
      <c r="L48" s="145">
        <v>453990.83770024945</v>
      </c>
      <c r="M48" s="87"/>
      <c r="N48" s="145">
        <v>2428019.0779386358</v>
      </c>
      <c r="O48" s="87"/>
      <c r="P48" s="145">
        <v>15139056.502859056</v>
      </c>
      <c r="Q48" s="87"/>
    </row>
    <row r="49" spans="1:17" s="68" customFormat="1" ht="12" customHeight="1" x14ac:dyDescent="0.15">
      <c r="A49" s="15"/>
      <c r="B49" s="219" t="s">
        <v>699</v>
      </c>
      <c r="C49" s="77"/>
      <c r="D49" s="146">
        <v>2658755.7314289617</v>
      </c>
      <c r="E49" s="88">
        <v>1</v>
      </c>
      <c r="F49" s="146">
        <v>13893872.866366362</v>
      </c>
      <c r="G49" s="88">
        <v>1</v>
      </c>
      <c r="H49" s="146">
        <v>52199937.796153858</v>
      </c>
      <c r="I49" s="88">
        <v>1</v>
      </c>
      <c r="J49" s="146">
        <v>303031.04671175405</v>
      </c>
      <c r="K49" s="88">
        <v>1</v>
      </c>
      <c r="L49" s="146">
        <v>486665.53820273612</v>
      </c>
      <c r="M49" s="88">
        <v>1</v>
      </c>
      <c r="N49" s="146">
        <v>1244255.5509958139</v>
      </c>
      <c r="O49" s="88">
        <v>1</v>
      </c>
      <c r="P49" s="146">
        <v>8388973.8819369469</v>
      </c>
      <c r="Q49" s="88">
        <v>1</v>
      </c>
    </row>
    <row r="50" spans="1:17" s="68" customFormat="1" ht="12" customHeight="1" x14ac:dyDescent="0.15">
      <c r="A50" s="6"/>
      <c r="B50" s="217" t="s">
        <v>700</v>
      </c>
      <c r="C50" s="75"/>
      <c r="D50" s="147">
        <v>1529989.000259999</v>
      </c>
      <c r="E50" s="148">
        <v>0.57545000000000002</v>
      </c>
      <c r="F50" s="147">
        <v>6652545.120714712</v>
      </c>
      <c r="G50" s="148">
        <v>0.47881000000000001</v>
      </c>
      <c r="H50" s="147">
        <v>17563415.475494497</v>
      </c>
      <c r="I50" s="148">
        <v>0.33645999999999998</v>
      </c>
      <c r="J50" s="147">
        <v>75731.063358732034</v>
      </c>
      <c r="K50" s="148">
        <v>0.24990999999999999</v>
      </c>
      <c r="L50" s="147">
        <v>147306.91040827145</v>
      </c>
      <c r="M50" s="148">
        <v>0.30269000000000001</v>
      </c>
      <c r="N50" s="147">
        <v>590286.34485111525</v>
      </c>
      <c r="O50" s="148">
        <v>0.47441</v>
      </c>
      <c r="P50" s="147">
        <v>3839113.9356483691</v>
      </c>
      <c r="Q50" s="148">
        <v>0.45763999999999999</v>
      </c>
    </row>
    <row r="51" spans="1:17" s="68" customFormat="1" ht="12" customHeight="1" x14ac:dyDescent="0.15">
      <c r="A51" s="79" t="s">
        <v>701</v>
      </c>
      <c r="B51" s="218" t="s">
        <v>702</v>
      </c>
      <c r="C51" s="76"/>
      <c r="D51" s="145"/>
      <c r="E51" s="150"/>
      <c r="F51" s="145"/>
      <c r="G51" s="150"/>
      <c r="H51" s="145"/>
      <c r="I51" s="150"/>
      <c r="J51" s="145"/>
      <c r="K51" s="150"/>
      <c r="L51" s="145"/>
      <c r="M51" s="150"/>
      <c r="N51" s="145"/>
      <c r="O51" s="150"/>
      <c r="P51" s="145"/>
      <c r="Q51" s="150"/>
    </row>
    <row r="52" spans="1:17" s="68" customFormat="1" ht="12" customHeight="1" x14ac:dyDescent="0.15">
      <c r="A52" s="79" t="s">
        <v>50</v>
      </c>
      <c r="B52" s="218" t="s">
        <v>703</v>
      </c>
      <c r="C52" s="76"/>
      <c r="D52" s="145">
        <v>22332.3937503448</v>
      </c>
      <c r="E52" s="150">
        <v>8.3999999999999995E-3</v>
      </c>
      <c r="F52" s="145">
        <v>117136.59164264258</v>
      </c>
      <c r="G52" s="150">
        <v>8.43E-3</v>
      </c>
      <c r="H52" s="145">
        <v>297403.60835164832</v>
      </c>
      <c r="I52" s="150">
        <v>5.7000000000000002E-3</v>
      </c>
      <c r="J52" s="145">
        <v>270.78070663516434</v>
      </c>
      <c r="K52" s="150">
        <v>8.8999999999999995E-4</v>
      </c>
      <c r="L52" s="145">
        <v>662.35711007462646</v>
      </c>
      <c r="M52" s="150">
        <v>1.3600000000000001E-3</v>
      </c>
      <c r="N52" s="145">
        <v>7040.4111122733739</v>
      </c>
      <c r="O52" s="150">
        <v>5.6600000000000001E-3</v>
      </c>
      <c r="P52" s="145">
        <v>62210.417678041485</v>
      </c>
      <c r="Q52" s="150">
        <v>7.4200000000000004E-3</v>
      </c>
    </row>
    <row r="53" spans="1:17" s="68" customFormat="1" ht="12" customHeight="1" x14ac:dyDescent="0.15">
      <c r="A53" s="79" t="s">
        <v>51</v>
      </c>
      <c r="B53" s="218" t="s">
        <v>704</v>
      </c>
      <c r="C53" s="76"/>
      <c r="D53" s="145"/>
      <c r="E53" s="150"/>
      <c r="F53" s="145"/>
      <c r="G53" s="150"/>
      <c r="H53" s="145"/>
      <c r="I53" s="150"/>
      <c r="J53" s="145"/>
      <c r="K53" s="150"/>
      <c r="L53" s="145"/>
      <c r="M53" s="150"/>
      <c r="N53" s="145"/>
      <c r="O53" s="150"/>
      <c r="P53" s="145"/>
      <c r="Q53" s="150"/>
    </row>
    <row r="54" spans="1:17" s="68" customFormat="1" ht="12" customHeight="1" x14ac:dyDescent="0.15">
      <c r="A54" s="79" t="s">
        <v>52</v>
      </c>
      <c r="B54" s="218" t="s">
        <v>705</v>
      </c>
      <c r="C54" s="76"/>
      <c r="D54" s="145"/>
      <c r="E54" s="150"/>
      <c r="F54" s="145"/>
      <c r="G54" s="150"/>
      <c r="H54" s="145"/>
      <c r="I54" s="150"/>
      <c r="J54" s="145"/>
      <c r="K54" s="150"/>
      <c r="L54" s="145"/>
      <c r="M54" s="150"/>
      <c r="N54" s="145"/>
      <c r="O54" s="150"/>
      <c r="P54" s="145"/>
      <c r="Q54" s="150"/>
    </row>
    <row r="55" spans="1:17" s="68" customFormat="1" ht="12" customHeight="1" x14ac:dyDescent="0.15">
      <c r="A55" s="79" t="s">
        <v>53</v>
      </c>
      <c r="B55" s="218" t="s">
        <v>706</v>
      </c>
      <c r="C55" s="76"/>
      <c r="D55" s="145"/>
      <c r="E55" s="150"/>
      <c r="F55" s="145"/>
      <c r="G55" s="150"/>
      <c r="H55" s="145"/>
      <c r="I55" s="150"/>
      <c r="J55" s="145"/>
      <c r="K55" s="150"/>
      <c r="L55" s="145"/>
      <c r="M55" s="150"/>
      <c r="N55" s="145"/>
      <c r="O55" s="150"/>
      <c r="P55" s="145"/>
      <c r="Q55" s="150"/>
    </row>
    <row r="56" spans="1:17" s="68" customFormat="1" ht="12" customHeight="1" x14ac:dyDescent="0.15">
      <c r="A56" s="79" t="s">
        <v>54</v>
      </c>
      <c r="B56" s="218" t="s">
        <v>707</v>
      </c>
      <c r="C56" s="76"/>
      <c r="D56" s="145"/>
      <c r="E56" s="150"/>
      <c r="F56" s="145"/>
      <c r="G56" s="150"/>
      <c r="H56" s="145"/>
      <c r="I56" s="150"/>
      <c r="J56" s="145"/>
      <c r="K56" s="150"/>
      <c r="L56" s="145"/>
      <c r="M56" s="150"/>
      <c r="N56" s="145"/>
      <c r="O56" s="150"/>
      <c r="P56" s="145"/>
      <c r="Q56" s="150"/>
    </row>
    <row r="57" spans="1:17" s="68" customFormat="1" ht="12" customHeight="1" x14ac:dyDescent="0.15">
      <c r="A57" s="79" t="s">
        <v>55</v>
      </c>
      <c r="B57" s="218" t="s">
        <v>708</v>
      </c>
      <c r="C57" s="76"/>
      <c r="D57" s="145"/>
      <c r="E57" s="150"/>
      <c r="F57" s="145"/>
      <c r="G57" s="150"/>
      <c r="H57" s="145"/>
      <c r="I57" s="150"/>
      <c r="J57" s="145"/>
      <c r="K57" s="150"/>
      <c r="L57" s="145"/>
      <c r="M57" s="150"/>
      <c r="N57" s="145"/>
      <c r="O57" s="150"/>
      <c r="P57" s="145"/>
      <c r="Q57" s="150"/>
    </row>
    <row r="58" spans="1:17" s="68" customFormat="1" ht="12" customHeight="1" x14ac:dyDescent="0.15">
      <c r="A58" s="79" t="s">
        <v>56</v>
      </c>
      <c r="B58" s="218" t="s">
        <v>709</v>
      </c>
      <c r="C58" s="76"/>
      <c r="D58" s="145"/>
      <c r="E58" s="150"/>
      <c r="F58" s="145"/>
      <c r="G58" s="150"/>
      <c r="H58" s="145"/>
      <c r="I58" s="150"/>
      <c r="J58" s="145"/>
      <c r="K58" s="150"/>
      <c r="L58" s="145"/>
      <c r="M58" s="150"/>
      <c r="N58" s="145"/>
      <c r="O58" s="150"/>
      <c r="P58" s="145"/>
      <c r="Q58" s="150"/>
    </row>
    <row r="59" spans="1:17" s="68" customFormat="1" ht="12" customHeight="1" x14ac:dyDescent="0.15">
      <c r="A59" s="79" t="s">
        <v>57</v>
      </c>
      <c r="B59" s="218" t="s">
        <v>710</v>
      </c>
      <c r="C59" s="76"/>
      <c r="D59" s="145"/>
      <c r="E59" s="150"/>
      <c r="F59" s="145"/>
      <c r="G59" s="150"/>
      <c r="H59" s="145"/>
      <c r="I59" s="150"/>
      <c r="J59" s="145"/>
      <c r="K59" s="150"/>
      <c r="L59" s="145"/>
      <c r="M59" s="150"/>
      <c r="N59" s="145"/>
      <c r="O59" s="150"/>
      <c r="P59" s="145"/>
      <c r="Q59" s="150"/>
    </row>
    <row r="60" spans="1:17" s="68" customFormat="1" ht="12" customHeight="1" x14ac:dyDescent="0.15">
      <c r="A60" s="79" t="s">
        <v>58</v>
      </c>
      <c r="B60" s="218" t="s">
        <v>663</v>
      </c>
      <c r="C60" s="76"/>
      <c r="D60" s="145"/>
      <c r="E60" s="150"/>
      <c r="F60" s="145"/>
      <c r="G60" s="150"/>
      <c r="H60" s="145"/>
      <c r="I60" s="150"/>
      <c r="J60" s="145"/>
      <c r="K60" s="150"/>
      <c r="L60" s="145"/>
      <c r="M60" s="150"/>
      <c r="N60" s="145"/>
      <c r="O60" s="150"/>
      <c r="P60" s="145"/>
      <c r="Q60" s="150"/>
    </row>
    <row r="61" spans="1:17" s="68" customFormat="1" ht="12" customHeight="1" x14ac:dyDescent="0.15">
      <c r="A61" s="79" t="s">
        <v>59</v>
      </c>
      <c r="B61" s="218" t="s">
        <v>664</v>
      </c>
      <c r="C61" s="76"/>
      <c r="D61" s="145"/>
      <c r="E61" s="150"/>
      <c r="F61" s="145"/>
      <c r="G61" s="150"/>
      <c r="H61" s="145"/>
      <c r="I61" s="150"/>
      <c r="J61" s="145"/>
      <c r="K61" s="150"/>
      <c r="L61" s="145"/>
      <c r="M61" s="150"/>
      <c r="N61" s="145"/>
      <c r="O61" s="150"/>
      <c r="P61" s="145"/>
      <c r="Q61" s="150"/>
    </row>
    <row r="62" spans="1:17" s="68" customFormat="1" ht="12" customHeight="1" x14ac:dyDescent="0.15">
      <c r="A62" s="79" t="s">
        <v>60</v>
      </c>
      <c r="B62" s="218" t="s">
        <v>665</v>
      </c>
      <c r="C62" s="76"/>
      <c r="D62" s="145">
        <v>111895.38543103452</v>
      </c>
      <c r="E62" s="150">
        <v>4.2090000000000002E-2</v>
      </c>
      <c r="F62" s="145">
        <v>432697.35029129108</v>
      </c>
      <c r="G62" s="150">
        <v>3.1140000000000001E-2</v>
      </c>
      <c r="H62" s="145">
        <v>793487.98047252756</v>
      </c>
      <c r="I62" s="150">
        <v>1.52E-2</v>
      </c>
      <c r="J62" s="145">
        <v>3718.2130171293629</v>
      </c>
      <c r="K62" s="150">
        <v>1.227E-2</v>
      </c>
      <c r="L62" s="145">
        <v>7288.2909661069571</v>
      </c>
      <c r="M62" s="150">
        <v>1.498E-2</v>
      </c>
      <c r="N62" s="145">
        <v>38409.179178870247</v>
      </c>
      <c r="O62" s="150">
        <v>3.0870000000000002E-2</v>
      </c>
      <c r="P62" s="145">
        <v>235974.80750816036</v>
      </c>
      <c r="Q62" s="150">
        <v>2.8129999999999999E-2</v>
      </c>
    </row>
    <row r="63" spans="1:17" s="68" customFormat="1" ht="12" customHeight="1" x14ac:dyDescent="0.15">
      <c r="A63" s="79" t="s">
        <v>61</v>
      </c>
      <c r="B63" s="218" t="s">
        <v>666</v>
      </c>
      <c r="C63" s="76"/>
      <c r="D63" s="145"/>
      <c r="E63" s="150"/>
      <c r="F63" s="145"/>
      <c r="G63" s="150"/>
      <c r="H63" s="145"/>
      <c r="I63" s="150"/>
      <c r="J63" s="145"/>
      <c r="K63" s="150"/>
      <c r="L63" s="145"/>
      <c r="M63" s="150"/>
      <c r="N63" s="145"/>
      <c r="O63" s="150"/>
      <c r="P63" s="145"/>
      <c r="Q63" s="150"/>
    </row>
    <row r="64" spans="1:17" s="68" customFormat="1" ht="12" customHeight="1" x14ac:dyDescent="0.15">
      <c r="A64" s="79" t="s">
        <v>62</v>
      </c>
      <c r="B64" s="218" t="s">
        <v>667</v>
      </c>
      <c r="C64" s="76"/>
      <c r="D64" s="145"/>
      <c r="E64" s="150"/>
      <c r="F64" s="145"/>
      <c r="G64" s="150"/>
      <c r="H64" s="145"/>
      <c r="I64" s="150"/>
      <c r="J64" s="145"/>
      <c r="K64" s="150"/>
      <c r="L64" s="145"/>
      <c r="M64" s="150"/>
      <c r="N64" s="145"/>
      <c r="O64" s="150"/>
      <c r="P64" s="145"/>
      <c r="Q64" s="150"/>
    </row>
    <row r="65" spans="1:17" s="68" customFormat="1" ht="12" customHeight="1" x14ac:dyDescent="0.15">
      <c r="A65" s="79" t="s">
        <v>63</v>
      </c>
      <c r="B65" s="218" t="s">
        <v>668</v>
      </c>
      <c r="C65" s="76"/>
      <c r="D65" s="145"/>
      <c r="E65" s="150"/>
      <c r="F65" s="145"/>
      <c r="G65" s="150"/>
      <c r="H65" s="145"/>
      <c r="I65" s="150"/>
      <c r="J65" s="145"/>
      <c r="K65" s="150"/>
      <c r="L65" s="145"/>
      <c r="M65" s="150"/>
      <c r="N65" s="145"/>
      <c r="O65" s="150"/>
      <c r="P65" s="145"/>
      <c r="Q65" s="150"/>
    </row>
    <row r="66" spans="1:17" s="68" customFormat="1" ht="12" customHeight="1" x14ac:dyDescent="0.15">
      <c r="A66" s="79" t="s">
        <v>64</v>
      </c>
      <c r="B66" s="218" t="s">
        <v>669</v>
      </c>
      <c r="C66" s="76"/>
      <c r="D66" s="145">
        <v>51905.272985517251</v>
      </c>
      <c r="E66" s="150">
        <v>1.9519999999999999E-2</v>
      </c>
      <c r="F66" s="145">
        <v>146556.34932432428</v>
      </c>
      <c r="G66" s="150">
        <v>1.055E-2</v>
      </c>
      <c r="H66" s="145">
        <v>197972.20752747264</v>
      </c>
      <c r="I66" s="150">
        <v>3.79E-3</v>
      </c>
      <c r="J66" s="145">
        <v>4695.3512279976294</v>
      </c>
      <c r="K66" s="150">
        <v>1.549E-2</v>
      </c>
      <c r="L66" s="145">
        <v>8149.2307842039854</v>
      </c>
      <c r="M66" s="150">
        <v>1.6750000000000001E-2</v>
      </c>
      <c r="N66" s="145">
        <v>22918.600463389113</v>
      </c>
      <c r="O66" s="150">
        <v>1.8419999999999999E-2</v>
      </c>
      <c r="P66" s="145">
        <v>82971.784188427191</v>
      </c>
      <c r="Q66" s="150">
        <v>9.8899999999999995E-3</v>
      </c>
    </row>
    <row r="67" spans="1:17" s="68" customFormat="1" ht="12" customHeight="1" x14ac:dyDescent="0.15">
      <c r="A67" s="79" t="s">
        <v>65</v>
      </c>
      <c r="B67" s="218" t="s">
        <v>670</v>
      </c>
      <c r="C67" s="76"/>
      <c r="D67" s="145">
        <v>17782.079108275862</v>
      </c>
      <c r="E67" s="150">
        <v>6.6899999999999998E-3</v>
      </c>
      <c r="F67" s="145">
        <v>64887.808237237237</v>
      </c>
      <c r="G67" s="150">
        <v>4.6699999999999997E-3</v>
      </c>
      <c r="H67" s="145">
        <v>143626.31728571429</v>
      </c>
      <c r="I67" s="150">
        <v>2.7499999999999998E-3</v>
      </c>
      <c r="J67" s="145">
        <v>952.11558338255429</v>
      </c>
      <c r="K67" s="150">
        <v>3.14E-3</v>
      </c>
      <c r="L67" s="145">
        <v>1601.1937988184088</v>
      </c>
      <c r="M67" s="150">
        <v>3.29E-3</v>
      </c>
      <c r="N67" s="145">
        <v>7079.8035345188246</v>
      </c>
      <c r="O67" s="150">
        <v>5.6899999999999997E-3</v>
      </c>
      <c r="P67" s="145">
        <v>38028.646531157283</v>
      </c>
      <c r="Q67" s="150">
        <v>4.5300000000000002E-3</v>
      </c>
    </row>
    <row r="68" spans="1:17" s="68" customFormat="1" ht="12" customHeight="1" x14ac:dyDescent="0.15">
      <c r="A68" s="79" t="s">
        <v>66</v>
      </c>
      <c r="B68" s="218" t="s">
        <v>671</v>
      </c>
      <c r="C68" s="76"/>
      <c r="D68" s="145">
        <v>36884.258361379318</v>
      </c>
      <c r="E68" s="150">
        <v>1.387E-2</v>
      </c>
      <c r="F68" s="145">
        <v>395794.97335735726</v>
      </c>
      <c r="G68" s="150">
        <v>2.8490000000000001E-2</v>
      </c>
      <c r="H68" s="145">
        <v>2201418.3215934057</v>
      </c>
      <c r="I68" s="150">
        <v>4.2169999999999999E-2</v>
      </c>
      <c r="J68" s="145">
        <v>569.75756566253131</v>
      </c>
      <c r="K68" s="150">
        <v>1.8799999999999999E-3</v>
      </c>
      <c r="L68" s="145">
        <v>1415.0141999378113</v>
      </c>
      <c r="M68" s="150">
        <v>2.9099999999999998E-3</v>
      </c>
      <c r="N68" s="145">
        <v>15029.847172245481</v>
      </c>
      <c r="O68" s="150">
        <v>1.208E-2</v>
      </c>
      <c r="P68" s="145">
        <v>260754.46230637969</v>
      </c>
      <c r="Q68" s="150">
        <v>3.108E-2</v>
      </c>
    </row>
    <row r="69" spans="1:17" s="68" customFormat="1" ht="12" customHeight="1" x14ac:dyDescent="0.15">
      <c r="A69" s="79" t="s">
        <v>67</v>
      </c>
      <c r="B69" s="218" t="s">
        <v>672</v>
      </c>
      <c r="C69" s="76"/>
      <c r="D69" s="145"/>
      <c r="E69" s="150"/>
      <c r="F69" s="145"/>
      <c r="G69" s="150"/>
      <c r="H69" s="145"/>
      <c r="I69" s="150"/>
      <c r="J69" s="145"/>
      <c r="K69" s="150"/>
      <c r="L69" s="145"/>
      <c r="M69" s="150"/>
      <c r="N69" s="145"/>
      <c r="O69" s="150"/>
      <c r="P69" s="145"/>
      <c r="Q69" s="150"/>
    </row>
    <row r="70" spans="1:17" s="68" customFormat="1" ht="12" customHeight="1" x14ac:dyDescent="0.15">
      <c r="A70" s="79" t="s">
        <v>68</v>
      </c>
      <c r="B70" s="218" t="s">
        <v>673</v>
      </c>
      <c r="C70" s="76"/>
      <c r="D70" s="145">
        <v>6077.522924137932</v>
      </c>
      <c r="E70" s="150">
        <v>2.2899999999999999E-3</v>
      </c>
      <c r="F70" s="145">
        <v>20126.830246246245</v>
      </c>
      <c r="G70" s="150">
        <v>1.4499999999999999E-3</v>
      </c>
      <c r="H70" s="145">
        <v>41461.694120879125</v>
      </c>
      <c r="I70" s="150">
        <v>7.9000000000000001E-4</v>
      </c>
      <c r="J70" s="145">
        <v>66.789849379799236</v>
      </c>
      <c r="K70" s="150">
        <v>2.2000000000000001E-4</v>
      </c>
      <c r="L70" s="145">
        <v>170.098394278607</v>
      </c>
      <c r="M70" s="150">
        <v>3.5E-4</v>
      </c>
      <c r="N70" s="145">
        <v>1826.183122733614</v>
      </c>
      <c r="O70" s="150">
        <v>1.47E-3</v>
      </c>
      <c r="P70" s="145">
        <v>11934.730034124626</v>
      </c>
      <c r="Q70" s="150">
        <v>1.42E-3</v>
      </c>
    </row>
    <row r="71" spans="1:17" s="68" customFormat="1" ht="12" customHeight="1" x14ac:dyDescent="0.15">
      <c r="A71" s="79" t="s">
        <v>69</v>
      </c>
      <c r="B71" s="218" t="s">
        <v>674</v>
      </c>
      <c r="C71" s="76"/>
      <c r="D71" s="145">
        <v>274381.15227999998</v>
      </c>
      <c r="E71" s="150">
        <v>0.1032</v>
      </c>
      <c r="F71" s="145">
        <v>1703939.2122312319</v>
      </c>
      <c r="G71" s="150">
        <v>0.12264</v>
      </c>
      <c r="H71" s="145">
        <v>4685211.9972197777</v>
      </c>
      <c r="I71" s="150">
        <v>8.9760000000000006E-2</v>
      </c>
      <c r="J71" s="145">
        <v>5159.5123047844099</v>
      </c>
      <c r="K71" s="150">
        <v>1.703E-2</v>
      </c>
      <c r="L71" s="145">
        <v>10045.692971703973</v>
      </c>
      <c r="M71" s="150">
        <v>2.0639999999999999E-2</v>
      </c>
      <c r="N71" s="145">
        <v>79624.331320780999</v>
      </c>
      <c r="O71" s="150">
        <v>6.3990000000000005E-2</v>
      </c>
      <c r="P71" s="145">
        <v>916545.77266988182</v>
      </c>
      <c r="Q71" s="150">
        <v>0.10926</v>
      </c>
    </row>
    <row r="72" spans="1:17" s="68" customFormat="1" ht="12" customHeight="1" x14ac:dyDescent="0.15">
      <c r="A72" s="79" t="s">
        <v>70</v>
      </c>
      <c r="B72" s="218" t="s">
        <v>675</v>
      </c>
      <c r="C72" s="76"/>
      <c r="D72" s="151"/>
      <c r="E72" s="152"/>
      <c r="F72" s="151"/>
      <c r="G72" s="152"/>
      <c r="H72" s="151"/>
      <c r="I72" s="152"/>
      <c r="J72" s="151"/>
      <c r="K72" s="152"/>
      <c r="L72" s="151"/>
      <c r="M72" s="152"/>
      <c r="N72" s="151"/>
      <c r="O72" s="152"/>
      <c r="P72" s="151"/>
      <c r="Q72" s="152"/>
    </row>
    <row r="73" spans="1:17" s="68" customFormat="1" ht="12" customHeight="1" x14ac:dyDescent="0.15">
      <c r="A73" s="79" t="s">
        <v>71</v>
      </c>
      <c r="B73" s="218" t="s">
        <v>676</v>
      </c>
      <c r="C73" s="76"/>
      <c r="D73" s="13"/>
      <c r="E73" s="80"/>
      <c r="F73" s="13"/>
      <c r="G73" s="80"/>
      <c r="H73" s="13"/>
      <c r="I73" s="80"/>
      <c r="J73" s="11"/>
      <c r="K73" s="80"/>
      <c r="L73" s="11"/>
      <c r="M73" s="80"/>
      <c r="N73" s="13"/>
      <c r="O73" s="11"/>
      <c r="P73" s="13"/>
      <c r="Q73" s="11"/>
    </row>
    <row r="74" spans="1:17" s="68" customFormat="1" ht="12" customHeight="1" x14ac:dyDescent="0.15">
      <c r="A74" s="79" t="s">
        <v>72</v>
      </c>
      <c r="B74" s="218" t="s">
        <v>677</v>
      </c>
      <c r="C74" s="76"/>
      <c r="D74" s="13"/>
      <c r="E74" s="80"/>
      <c r="F74" s="13"/>
      <c r="G74" s="80"/>
      <c r="H74" s="13"/>
      <c r="I74" s="80"/>
      <c r="J74" s="11"/>
      <c r="K74" s="80"/>
      <c r="L74" s="11"/>
      <c r="M74" s="80"/>
      <c r="N74" s="13"/>
      <c r="O74" s="11"/>
      <c r="P74" s="13"/>
      <c r="Q74" s="11"/>
    </row>
    <row r="75" spans="1:17" s="68" customFormat="1" ht="12" customHeight="1" x14ac:dyDescent="0.15">
      <c r="A75" s="79" t="s">
        <v>73</v>
      </c>
      <c r="B75" s="218" t="s">
        <v>678</v>
      </c>
      <c r="C75" s="76"/>
      <c r="D75" s="13"/>
      <c r="E75" s="80"/>
      <c r="F75" s="13"/>
      <c r="G75" s="80"/>
      <c r="H75" s="13"/>
      <c r="I75" s="80"/>
      <c r="J75" s="11"/>
      <c r="K75" s="80"/>
      <c r="L75" s="11"/>
      <c r="M75" s="80"/>
      <c r="N75" s="13"/>
      <c r="O75" s="11"/>
      <c r="P75" s="13"/>
      <c r="Q75" s="11"/>
    </row>
    <row r="76" spans="1:17" s="68" customFormat="1" ht="12" customHeight="1" x14ac:dyDescent="0.15">
      <c r="A76" s="79" t="s">
        <v>74</v>
      </c>
      <c r="B76" s="218" t="s">
        <v>679</v>
      </c>
      <c r="C76" s="76"/>
      <c r="D76" s="13"/>
      <c r="E76" s="80"/>
      <c r="F76" s="13"/>
      <c r="G76" s="80"/>
      <c r="H76" s="13"/>
      <c r="I76" s="80"/>
      <c r="J76" s="11"/>
      <c r="K76" s="80"/>
      <c r="L76" s="11"/>
      <c r="M76" s="80"/>
      <c r="N76" s="13"/>
      <c r="O76" s="11"/>
      <c r="P76" s="13"/>
      <c r="Q76" s="11"/>
    </row>
    <row r="77" spans="1:17" s="68" customFormat="1" ht="12" customHeight="1" x14ac:dyDescent="0.15">
      <c r="A77" s="79" t="s">
        <v>75</v>
      </c>
      <c r="B77" s="218" t="s">
        <v>680</v>
      </c>
      <c r="C77" s="76"/>
      <c r="D77" s="13"/>
      <c r="E77" s="80"/>
      <c r="F77" s="13"/>
      <c r="G77" s="80"/>
      <c r="H77" s="13"/>
      <c r="I77" s="80"/>
      <c r="J77" s="11"/>
      <c r="K77" s="80"/>
      <c r="L77" s="11"/>
      <c r="M77" s="80"/>
      <c r="N77" s="13"/>
      <c r="O77" s="11"/>
      <c r="P77" s="13"/>
      <c r="Q77" s="11"/>
    </row>
    <row r="78" spans="1:17" s="68" customFormat="1" ht="12" customHeight="1" x14ac:dyDescent="0.15">
      <c r="A78" s="79" t="s">
        <v>76</v>
      </c>
      <c r="B78" s="218" t="s">
        <v>681</v>
      </c>
      <c r="C78" s="76"/>
      <c r="D78" s="13"/>
      <c r="E78" s="80"/>
      <c r="F78" s="13"/>
      <c r="G78" s="80"/>
      <c r="H78" s="13"/>
      <c r="I78" s="80"/>
      <c r="J78" s="11"/>
      <c r="K78" s="80"/>
      <c r="L78" s="11"/>
      <c r="M78" s="80"/>
      <c r="N78" s="13"/>
      <c r="O78" s="11"/>
      <c r="P78" s="13"/>
      <c r="Q78" s="11"/>
    </row>
    <row r="79" spans="1:17" s="68" customFormat="1" ht="12" customHeight="1" x14ac:dyDescent="0.15">
      <c r="A79" s="81" t="s">
        <v>77</v>
      </c>
      <c r="B79" s="219" t="s">
        <v>682</v>
      </c>
      <c r="C79" s="77"/>
      <c r="D79" s="78"/>
      <c r="E79" s="82"/>
      <c r="F79" s="78"/>
      <c r="G79" s="82"/>
      <c r="H79" s="78"/>
      <c r="I79" s="82"/>
      <c r="J79" s="18"/>
      <c r="K79" s="82"/>
      <c r="L79" s="18"/>
      <c r="M79" s="82"/>
      <c r="N79" s="78"/>
      <c r="O79" s="18"/>
      <c r="P79" s="78"/>
      <c r="Q79" s="18"/>
    </row>
    <row r="80" spans="1:17" s="68" customFormat="1" ht="14.25" customHeight="1" x14ac:dyDescent="0.15">
      <c r="A80" s="83"/>
      <c r="B80" s="83"/>
      <c r="C80" s="83"/>
      <c r="D80" s="83"/>
    </row>
    <row r="81" spans="1:17" s="68" customFormat="1" ht="24.95" customHeight="1" x14ac:dyDescent="0.15">
      <c r="A81" s="69"/>
      <c r="B81" s="217" t="s">
        <v>683</v>
      </c>
      <c r="C81" s="30"/>
      <c r="D81" s="70" t="s">
        <v>711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2"/>
    </row>
    <row r="82" spans="1:17" s="68" customFormat="1" ht="11.85" customHeight="1" x14ac:dyDescent="0.15">
      <c r="A82" s="6"/>
      <c r="B82" s="217" t="s">
        <v>695</v>
      </c>
      <c r="C82" s="75"/>
      <c r="D82" s="84"/>
      <c r="E82" s="90"/>
      <c r="F82" s="90"/>
      <c r="G82" s="90"/>
      <c r="H82" s="90"/>
      <c r="I82" s="90"/>
      <c r="J82" s="90"/>
      <c r="K82" s="90"/>
      <c r="L82" s="8"/>
      <c r="M82" s="8"/>
      <c r="N82" s="8"/>
      <c r="O82" s="8"/>
      <c r="P82" s="8"/>
      <c r="Q82" s="9"/>
    </row>
    <row r="83" spans="1:17" s="68" customFormat="1" ht="11.85" customHeight="1" x14ac:dyDescent="0.15">
      <c r="A83" s="7"/>
      <c r="B83" s="218" t="s">
        <v>696</v>
      </c>
      <c r="C83" s="76"/>
      <c r="D83" s="85" t="s">
        <v>542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</row>
    <row r="84" spans="1:17" s="68" customFormat="1" ht="11.85" customHeight="1" x14ac:dyDescent="0.15">
      <c r="A84" s="7"/>
      <c r="B84" s="218" t="s">
        <v>697</v>
      </c>
      <c r="C84" s="76"/>
      <c r="D84" s="85" t="s">
        <v>543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</row>
    <row r="85" spans="1:17" s="68" customFormat="1" ht="11.85" customHeight="1" x14ac:dyDescent="0.15">
      <c r="A85" s="7"/>
      <c r="B85" s="218" t="s">
        <v>698</v>
      </c>
      <c r="C85" s="76"/>
      <c r="D85" s="85" t="s">
        <v>544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9"/>
    </row>
    <row r="86" spans="1:17" s="68" customFormat="1" ht="11.85" customHeight="1" x14ac:dyDescent="0.15">
      <c r="A86" s="15"/>
      <c r="B86" s="219" t="s">
        <v>699</v>
      </c>
      <c r="C86" s="77"/>
      <c r="D86" s="85" t="s">
        <v>545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9"/>
    </row>
    <row r="87" spans="1:17" s="68" customFormat="1" ht="11.85" customHeight="1" x14ac:dyDescent="0.15">
      <c r="A87" s="6"/>
      <c r="B87" s="217" t="s">
        <v>700</v>
      </c>
      <c r="C87" s="75"/>
      <c r="D87" s="85" t="s">
        <v>546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</row>
    <row r="88" spans="1:17" s="68" customFormat="1" ht="11.85" customHeight="1" x14ac:dyDescent="0.15">
      <c r="A88" s="79" t="s">
        <v>701</v>
      </c>
      <c r="B88" s="218" t="s">
        <v>702</v>
      </c>
      <c r="C88" s="76"/>
      <c r="D88" s="85" t="s">
        <v>547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9"/>
    </row>
    <row r="89" spans="1:17" s="68" customFormat="1" ht="11.85" customHeight="1" x14ac:dyDescent="0.15">
      <c r="A89" s="79" t="s">
        <v>50</v>
      </c>
      <c r="B89" s="218" t="s">
        <v>703</v>
      </c>
      <c r="C89" s="76"/>
      <c r="D89" s="85" t="s">
        <v>548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9"/>
    </row>
    <row r="90" spans="1:17" s="68" customFormat="1" ht="11.85" customHeight="1" x14ac:dyDescent="0.15">
      <c r="A90" s="79" t="s">
        <v>51</v>
      </c>
      <c r="B90" s="218" t="s">
        <v>704</v>
      </c>
      <c r="C90" s="76"/>
      <c r="D90" s="85" t="s">
        <v>549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</row>
    <row r="91" spans="1:17" s="68" customFormat="1" ht="11.85" customHeight="1" x14ac:dyDescent="0.15">
      <c r="A91" s="79" t="s">
        <v>52</v>
      </c>
      <c r="B91" s="218" t="s">
        <v>705</v>
      </c>
      <c r="C91" s="76"/>
      <c r="D91" s="85" t="s">
        <v>550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9"/>
    </row>
    <row r="92" spans="1:17" s="68" customFormat="1" ht="11.85" customHeight="1" x14ac:dyDescent="0.15">
      <c r="A92" s="79" t="s">
        <v>53</v>
      </c>
      <c r="B92" s="218" t="s">
        <v>706</v>
      </c>
      <c r="C92" s="76"/>
      <c r="D92" s="85" t="s">
        <v>551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/>
    </row>
    <row r="93" spans="1:17" s="68" customFormat="1" ht="11.85" customHeight="1" x14ac:dyDescent="0.15">
      <c r="A93" s="79" t="s">
        <v>54</v>
      </c>
      <c r="B93" s="218" t="s">
        <v>707</v>
      </c>
      <c r="C93" s="76"/>
      <c r="D93" s="8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9"/>
    </row>
    <row r="94" spans="1:17" s="68" customFormat="1" ht="11.85" customHeight="1" x14ac:dyDescent="0.15">
      <c r="A94" s="79" t="s">
        <v>55</v>
      </c>
      <c r="B94" s="218" t="s">
        <v>708</v>
      </c>
      <c r="C94" s="76"/>
      <c r="D94" s="85" t="s">
        <v>552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9"/>
    </row>
    <row r="95" spans="1:17" s="68" customFormat="1" ht="11.85" customHeight="1" x14ac:dyDescent="0.15">
      <c r="A95" s="79" t="s">
        <v>56</v>
      </c>
      <c r="B95" s="218" t="s">
        <v>709</v>
      </c>
      <c r="C95" s="76"/>
      <c r="D95" s="85" t="s">
        <v>553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9"/>
    </row>
    <row r="96" spans="1:17" s="68" customFormat="1" ht="11.85" customHeight="1" x14ac:dyDescent="0.15">
      <c r="A96" s="79" t="s">
        <v>57</v>
      </c>
      <c r="B96" s="218" t="s">
        <v>710</v>
      </c>
      <c r="C96" s="76"/>
      <c r="D96" s="85" t="s">
        <v>554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1:17" s="68" customFormat="1" ht="11.85" customHeight="1" x14ac:dyDescent="0.15">
      <c r="A97" s="79" t="s">
        <v>58</v>
      </c>
      <c r="B97" s="218" t="s">
        <v>663</v>
      </c>
      <c r="C97" s="76"/>
      <c r="D97" s="85" t="s">
        <v>555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9"/>
    </row>
    <row r="98" spans="1:17" s="68" customFormat="1" ht="11.85" customHeight="1" x14ac:dyDescent="0.15">
      <c r="A98" s="79" t="s">
        <v>59</v>
      </c>
      <c r="B98" s="218" t="s">
        <v>664</v>
      </c>
      <c r="C98" s="76"/>
      <c r="D98" s="85" t="s">
        <v>556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9"/>
    </row>
    <row r="99" spans="1:17" s="68" customFormat="1" ht="11.85" customHeight="1" x14ac:dyDescent="0.15">
      <c r="A99" s="79" t="s">
        <v>60</v>
      </c>
      <c r="B99" s="218" t="s">
        <v>665</v>
      </c>
      <c r="C99" s="76"/>
      <c r="D99" s="85" t="s">
        <v>557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9"/>
    </row>
    <row r="100" spans="1:17" s="68" customFormat="1" ht="11.85" customHeight="1" x14ac:dyDescent="0.15">
      <c r="A100" s="79" t="s">
        <v>61</v>
      </c>
      <c r="B100" s="218" t="s">
        <v>666</v>
      </c>
      <c r="C100" s="76"/>
      <c r="D100" s="85" t="s">
        <v>558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9"/>
    </row>
    <row r="101" spans="1:17" s="68" customFormat="1" ht="11.85" customHeight="1" x14ac:dyDescent="0.15">
      <c r="A101" s="79" t="s">
        <v>62</v>
      </c>
      <c r="B101" s="218" t="s">
        <v>667</v>
      </c>
      <c r="C101" s="76"/>
      <c r="D101" s="85" t="s">
        <v>559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9"/>
    </row>
    <row r="102" spans="1:17" s="68" customFormat="1" ht="11.85" customHeight="1" x14ac:dyDescent="0.15">
      <c r="A102" s="79" t="s">
        <v>63</v>
      </c>
      <c r="B102" s="218" t="s">
        <v>668</v>
      </c>
      <c r="C102" s="76"/>
      <c r="D102" s="8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/>
    </row>
    <row r="103" spans="1:17" s="68" customFormat="1" ht="11.85" customHeight="1" x14ac:dyDescent="0.15">
      <c r="A103" s="79" t="s">
        <v>64</v>
      </c>
      <c r="B103" s="218" t="s">
        <v>669</v>
      </c>
      <c r="C103" s="76"/>
      <c r="D103" s="85" t="s">
        <v>560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9"/>
    </row>
    <row r="104" spans="1:17" s="68" customFormat="1" ht="11.85" customHeight="1" x14ac:dyDescent="0.15">
      <c r="A104" s="79" t="s">
        <v>65</v>
      </c>
      <c r="B104" s="218" t="s">
        <v>670</v>
      </c>
      <c r="C104" s="76"/>
      <c r="D104" s="85" t="s">
        <v>561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9"/>
    </row>
    <row r="105" spans="1:17" s="68" customFormat="1" ht="11.85" customHeight="1" x14ac:dyDescent="0.15">
      <c r="A105" s="79" t="s">
        <v>66</v>
      </c>
      <c r="B105" s="218" t="s">
        <v>671</v>
      </c>
      <c r="C105" s="76"/>
      <c r="D105" s="85" t="s">
        <v>562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9"/>
    </row>
    <row r="106" spans="1:17" s="68" customFormat="1" ht="11.85" customHeight="1" x14ac:dyDescent="0.15">
      <c r="A106" s="79" t="s">
        <v>67</v>
      </c>
      <c r="B106" s="218" t="s">
        <v>672</v>
      </c>
      <c r="C106" s="76"/>
      <c r="D106" s="85" t="s">
        <v>563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9"/>
    </row>
    <row r="107" spans="1:17" s="68" customFormat="1" ht="11.85" customHeight="1" x14ac:dyDescent="0.15">
      <c r="A107" s="79" t="s">
        <v>68</v>
      </c>
      <c r="B107" s="218" t="s">
        <v>673</v>
      </c>
      <c r="C107" s="76"/>
      <c r="D107" s="85" t="s">
        <v>564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9"/>
    </row>
    <row r="108" spans="1:17" s="68" customFormat="1" ht="11.85" customHeight="1" x14ac:dyDescent="0.15">
      <c r="A108" s="79" t="s">
        <v>69</v>
      </c>
      <c r="B108" s="218" t="s">
        <v>674</v>
      </c>
      <c r="C108" s="76"/>
      <c r="D108" s="85" t="s">
        <v>565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"/>
    </row>
    <row r="109" spans="1:17" s="68" customFormat="1" ht="11.85" customHeight="1" x14ac:dyDescent="0.15">
      <c r="A109" s="79" t="s">
        <v>70</v>
      </c>
      <c r="B109" s="218" t="s">
        <v>675</v>
      </c>
      <c r="C109" s="76"/>
      <c r="D109" s="85" t="s">
        <v>566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9"/>
    </row>
    <row r="110" spans="1:17" s="68" customFormat="1" ht="11.85" customHeight="1" x14ac:dyDescent="0.15">
      <c r="A110" s="79" t="s">
        <v>71</v>
      </c>
      <c r="B110" s="218" t="s">
        <v>676</v>
      </c>
      <c r="C110" s="76"/>
      <c r="D110" s="85" t="s">
        <v>567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9"/>
    </row>
    <row r="111" spans="1:17" s="68" customFormat="1" ht="11.85" customHeight="1" x14ac:dyDescent="0.15">
      <c r="A111" s="79" t="s">
        <v>72</v>
      </c>
      <c r="B111" s="218" t="s">
        <v>677</v>
      </c>
      <c r="C111" s="76"/>
      <c r="D111" s="8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"/>
    </row>
    <row r="112" spans="1:17" s="68" customFormat="1" ht="11.85" customHeight="1" x14ac:dyDescent="0.15">
      <c r="A112" s="79" t="s">
        <v>73</v>
      </c>
      <c r="B112" s="218" t="s">
        <v>678</v>
      </c>
      <c r="C112" s="76"/>
      <c r="D112" s="8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9"/>
    </row>
    <row r="113" spans="1:17" s="68" customFormat="1" ht="11.85" customHeight="1" x14ac:dyDescent="0.15">
      <c r="A113" s="79" t="s">
        <v>74</v>
      </c>
      <c r="B113" s="218" t="s">
        <v>679</v>
      </c>
      <c r="C113" s="76"/>
      <c r="D113" s="8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"/>
    </row>
    <row r="114" spans="1:17" s="68" customFormat="1" ht="11.85" customHeight="1" x14ac:dyDescent="0.15">
      <c r="A114" s="79" t="s">
        <v>75</v>
      </c>
      <c r="B114" s="218" t="s">
        <v>680</v>
      </c>
      <c r="C114" s="76"/>
      <c r="D114" s="8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9"/>
    </row>
    <row r="115" spans="1:17" s="68" customFormat="1" ht="11.85" customHeight="1" x14ac:dyDescent="0.15">
      <c r="A115" s="79" t="s">
        <v>76</v>
      </c>
      <c r="B115" s="218" t="s">
        <v>681</v>
      </c>
      <c r="C115" s="76"/>
      <c r="D115" s="8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9"/>
    </row>
    <row r="116" spans="1:17" s="68" customFormat="1" ht="11.85" customHeight="1" x14ac:dyDescent="0.15">
      <c r="A116" s="81" t="s">
        <v>77</v>
      </c>
      <c r="B116" s="219" t="s">
        <v>682</v>
      </c>
      <c r="C116" s="77"/>
      <c r="D116" s="8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</row>
    <row r="117" spans="1:17" s="68" customFormat="1" ht="11.25" x14ac:dyDescent="0.15"/>
  </sheetData>
  <mergeCells count="3">
    <mergeCell ref="B4:B6"/>
    <mergeCell ref="F5:G5"/>
    <mergeCell ref="B42:B44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40"/>
  <sheetViews>
    <sheetView workbookViewId="0"/>
  </sheetViews>
  <sheetFormatPr defaultRowHeight="12" x14ac:dyDescent="0.15"/>
  <cols>
    <col min="1" max="1" width="2.28515625" style="3" customWidth="1"/>
    <col min="2" max="2" width="19.28515625" style="3" customWidth="1"/>
    <col min="3" max="3" width="1.85546875" style="3" customWidth="1"/>
    <col min="4" max="4" width="18.140625" style="3" customWidth="1"/>
    <col min="5" max="5" width="1.85546875" style="3" customWidth="1"/>
    <col min="6" max="6" width="12.28515625" style="3" customWidth="1"/>
    <col min="7" max="7" width="20.5703125" style="3" customWidth="1"/>
    <col min="8" max="8" width="1.7109375" style="3" customWidth="1"/>
    <col min="9" max="9" width="16.7109375" style="3" customWidth="1"/>
    <col min="10" max="16384" width="9.140625" style="3"/>
  </cols>
  <sheetData>
    <row r="1" spans="1:9" ht="20.100000000000001" customHeight="1" x14ac:dyDescent="0.15">
      <c r="A1" s="249" t="s">
        <v>425</v>
      </c>
    </row>
    <row r="2" spans="1:9" ht="39.950000000000003" customHeight="1" x14ac:dyDescent="0.15">
      <c r="A2" s="4" t="s">
        <v>83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323"/>
      <c r="B5" s="324" t="s">
        <v>87</v>
      </c>
      <c r="C5" s="292"/>
      <c r="D5" s="328" t="s">
        <v>84</v>
      </c>
      <c r="E5" s="329"/>
      <c r="F5" s="52" t="s">
        <v>85</v>
      </c>
      <c r="G5" s="289" t="s">
        <v>86</v>
      </c>
      <c r="H5" s="339"/>
      <c r="I5" s="291" t="s">
        <v>28</v>
      </c>
    </row>
    <row r="6" spans="1:9" ht="69.95" customHeight="1" x14ac:dyDescent="0.15">
      <c r="A6" s="59"/>
      <c r="B6" s="60"/>
      <c r="C6" s="58"/>
      <c r="D6" s="348" t="s">
        <v>7</v>
      </c>
      <c r="E6" s="349"/>
      <c r="F6" s="349" t="s">
        <v>13</v>
      </c>
      <c r="G6" s="59"/>
      <c r="H6" s="198"/>
      <c r="I6" s="319"/>
    </row>
    <row r="7" spans="1:9" ht="69.95" customHeight="1" x14ac:dyDescent="0.15">
      <c r="A7" s="59"/>
      <c r="B7" s="60" t="s">
        <v>657</v>
      </c>
      <c r="C7" s="58"/>
      <c r="D7" s="332">
        <f>원가!E11</f>
        <v>21150978</v>
      </c>
      <c r="E7" s="333"/>
      <c r="F7" s="62">
        <f>산재율!F12/1000*100</f>
        <v>3.8</v>
      </c>
      <c r="G7" s="332">
        <f>TRUNC(D7*F7%)</f>
        <v>803737</v>
      </c>
      <c r="H7" s="335"/>
      <c r="I7" s="319"/>
    </row>
    <row r="8" spans="1:9" ht="69.95" customHeight="1" x14ac:dyDescent="0.15">
      <c r="A8" s="63"/>
      <c r="B8" s="64"/>
      <c r="C8" s="65"/>
      <c r="D8" s="350"/>
      <c r="E8" s="351"/>
      <c r="F8" s="66"/>
      <c r="G8" s="350"/>
      <c r="H8" s="352"/>
      <c r="I8" s="336"/>
    </row>
    <row r="9" spans="1:9" ht="45" customHeight="1" x14ac:dyDescent="0.15">
      <c r="A9" s="323"/>
      <c r="B9" s="324" t="s">
        <v>88</v>
      </c>
      <c r="C9" s="252"/>
      <c r="D9" s="327"/>
      <c r="E9" s="353"/>
      <c r="F9" s="291"/>
      <c r="G9" s="327">
        <f>SUM(G7:G8)</f>
        <v>803737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" t="str">
        <f>"   2) 비율(%) : "&amp;산재율!A1&amp;산재율!A2&amp;" 참조"</f>
        <v xml:space="preserve">   2) 비율(%) : &lt; 표 : 12 &gt; 산업재해보상보험요율 참조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42"/>
  <sheetViews>
    <sheetView workbookViewId="0"/>
  </sheetViews>
  <sheetFormatPr defaultRowHeight="12" x14ac:dyDescent="0.15"/>
  <cols>
    <col min="1" max="1" width="3.7109375" style="340" customWidth="1"/>
    <col min="2" max="2" width="33.7109375" style="3" customWidth="1"/>
    <col min="3" max="3" width="9.7109375" style="3" customWidth="1"/>
    <col min="4" max="4" width="3.7109375" style="340" customWidth="1"/>
    <col min="5" max="5" width="33.7109375" style="3" customWidth="1"/>
    <col min="6" max="6" width="9.7109375" style="3" customWidth="1"/>
    <col min="7" max="16384" width="9.140625" style="3"/>
  </cols>
  <sheetData>
    <row r="1" spans="1:6" ht="20.100000000000001" customHeight="1" x14ac:dyDescent="0.15">
      <c r="A1" s="340" t="s">
        <v>426</v>
      </c>
    </row>
    <row r="2" spans="1:6" ht="39.950000000000003" customHeight="1" x14ac:dyDescent="0.15">
      <c r="A2" s="5" t="s">
        <v>90</v>
      </c>
      <c r="B2" s="5"/>
      <c r="C2" s="5"/>
      <c r="D2" s="5"/>
      <c r="E2" s="5"/>
      <c r="F2" s="5"/>
    </row>
    <row r="3" spans="1:6" ht="5.0999999999999996" customHeight="1" x14ac:dyDescent="0.15">
      <c r="A3" s="5"/>
      <c r="B3" s="5"/>
      <c r="C3" s="5"/>
      <c r="D3" s="5"/>
      <c r="E3" s="5"/>
      <c r="F3" s="5"/>
    </row>
    <row r="4" spans="1:6" ht="20.100000000000001" customHeight="1" x14ac:dyDescent="0.15">
      <c r="F4" s="40" t="s">
        <v>644</v>
      </c>
    </row>
    <row r="5" spans="1:6" ht="24.95" customHeight="1" x14ac:dyDescent="0.15">
      <c r="A5" s="940" t="s">
        <v>91</v>
      </c>
      <c r="B5" s="940"/>
      <c r="C5" s="291" t="s">
        <v>92</v>
      </c>
      <c r="D5" s="941" t="s">
        <v>91</v>
      </c>
      <c r="E5" s="941"/>
      <c r="F5" s="291" t="s">
        <v>92</v>
      </c>
    </row>
    <row r="6" spans="1:6" ht="7.5" customHeight="1" x14ac:dyDescent="0.15">
      <c r="A6" s="341"/>
      <c r="B6" s="342"/>
      <c r="C6" s="57"/>
      <c r="D6" s="343"/>
      <c r="E6" s="344"/>
      <c r="F6" s="57"/>
    </row>
    <row r="7" spans="1:6" ht="15.6" customHeight="1" x14ac:dyDescent="0.15">
      <c r="A7" s="345" t="s">
        <v>645</v>
      </c>
      <c r="B7" s="58" t="s">
        <v>646</v>
      </c>
      <c r="C7" s="62"/>
      <c r="D7" s="345"/>
      <c r="E7" s="58"/>
      <c r="F7" s="62"/>
    </row>
    <row r="8" spans="1:6" ht="15.6" customHeight="1" x14ac:dyDescent="0.15">
      <c r="A8" s="345"/>
      <c r="B8" s="58" t="s">
        <v>647</v>
      </c>
      <c r="C8" s="110" t="s">
        <v>379</v>
      </c>
      <c r="D8" s="345"/>
      <c r="E8" s="58" t="s">
        <v>648</v>
      </c>
      <c r="F8" s="110" t="s">
        <v>380</v>
      </c>
    </row>
    <row r="9" spans="1:6" ht="15.6" customHeight="1" x14ac:dyDescent="0.15">
      <c r="A9" s="345"/>
      <c r="B9" s="58" t="s">
        <v>93</v>
      </c>
      <c r="C9" s="110" t="s">
        <v>381</v>
      </c>
      <c r="D9" s="345"/>
      <c r="E9" s="58" t="s">
        <v>119</v>
      </c>
      <c r="F9" s="110" t="s">
        <v>382</v>
      </c>
    </row>
    <row r="10" spans="1:6" ht="15.6" customHeight="1" x14ac:dyDescent="0.15">
      <c r="A10" s="345"/>
      <c r="B10" s="58" t="s">
        <v>94</v>
      </c>
      <c r="C10" s="110" t="s">
        <v>383</v>
      </c>
      <c r="D10" s="345"/>
      <c r="E10" s="58" t="s">
        <v>120</v>
      </c>
      <c r="F10" s="110" t="s">
        <v>384</v>
      </c>
    </row>
    <row r="11" spans="1:6" ht="15.6" customHeight="1" x14ac:dyDescent="0.15">
      <c r="A11" s="345"/>
      <c r="B11" s="58" t="s">
        <v>649</v>
      </c>
      <c r="C11" s="110" t="s">
        <v>385</v>
      </c>
      <c r="D11" s="345" t="s">
        <v>121</v>
      </c>
      <c r="E11" s="58" t="s">
        <v>650</v>
      </c>
      <c r="F11" s="110" t="s">
        <v>380</v>
      </c>
    </row>
    <row r="12" spans="1:6" ht="15.6" customHeight="1" x14ac:dyDescent="0.15">
      <c r="A12" s="345"/>
      <c r="B12" s="58" t="s">
        <v>95</v>
      </c>
      <c r="C12" s="110" t="s">
        <v>386</v>
      </c>
      <c r="D12" s="346" t="s">
        <v>122</v>
      </c>
      <c r="E12" s="252" t="s">
        <v>123</v>
      </c>
      <c r="F12" s="111" t="s">
        <v>387</v>
      </c>
    </row>
    <row r="13" spans="1:6" ht="15.6" customHeight="1" x14ac:dyDescent="0.15">
      <c r="A13" s="345" t="s">
        <v>96</v>
      </c>
      <c r="B13" s="58" t="s">
        <v>97</v>
      </c>
      <c r="C13" s="110"/>
      <c r="D13" s="345" t="s">
        <v>124</v>
      </c>
      <c r="E13" s="58" t="s">
        <v>125</v>
      </c>
      <c r="F13" s="110"/>
    </row>
    <row r="14" spans="1:6" ht="15.6" customHeight="1" x14ac:dyDescent="0.15">
      <c r="A14" s="345"/>
      <c r="B14" s="58" t="s">
        <v>98</v>
      </c>
      <c r="C14" s="110" t="s">
        <v>388</v>
      </c>
      <c r="D14" s="345"/>
      <c r="E14" s="58" t="s">
        <v>126</v>
      </c>
      <c r="F14" s="110" t="s">
        <v>389</v>
      </c>
    </row>
    <row r="15" spans="1:6" ht="15.6" customHeight="1" x14ac:dyDescent="0.15">
      <c r="A15" s="345"/>
      <c r="B15" s="58" t="s">
        <v>99</v>
      </c>
      <c r="C15" s="110" t="s">
        <v>389</v>
      </c>
      <c r="D15" s="345"/>
      <c r="E15" s="58" t="s">
        <v>127</v>
      </c>
      <c r="F15" s="110" t="s">
        <v>390</v>
      </c>
    </row>
    <row r="16" spans="1:6" ht="15.6" customHeight="1" x14ac:dyDescent="0.15">
      <c r="A16" s="345"/>
      <c r="B16" s="58" t="s">
        <v>100</v>
      </c>
      <c r="C16" s="110" t="s">
        <v>391</v>
      </c>
      <c r="D16" s="345"/>
      <c r="E16" s="58" t="s">
        <v>128</v>
      </c>
      <c r="F16" s="110" t="s">
        <v>392</v>
      </c>
    </row>
    <row r="17" spans="1:6" ht="15.6" customHeight="1" x14ac:dyDescent="0.15">
      <c r="A17" s="345"/>
      <c r="B17" s="58" t="s">
        <v>101</v>
      </c>
      <c r="C17" s="110" t="s">
        <v>393</v>
      </c>
      <c r="D17" s="345"/>
      <c r="E17" s="58" t="s">
        <v>129</v>
      </c>
      <c r="F17" s="110" t="s">
        <v>386</v>
      </c>
    </row>
    <row r="18" spans="1:6" ht="15.6" customHeight="1" x14ac:dyDescent="0.15">
      <c r="A18" s="345"/>
      <c r="B18" s="58" t="s">
        <v>102</v>
      </c>
      <c r="C18" s="110" t="s">
        <v>394</v>
      </c>
      <c r="D18" s="345"/>
      <c r="E18" s="58" t="s">
        <v>130</v>
      </c>
      <c r="F18" s="110" t="s">
        <v>395</v>
      </c>
    </row>
    <row r="19" spans="1:6" ht="15.6" customHeight="1" x14ac:dyDescent="0.15">
      <c r="A19" s="345"/>
      <c r="B19" s="58"/>
      <c r="C19" s="110"/>
      <c r="D19" s="345"/>
      <c r="E19" s="58" t="s">
        <v>131</v>
      </c>
      <c r="F19" s="110"/>
    </row>
    <row r="20" spans="1:6" ht="15.6" customHeight="1" x14ac:dyDescent="0.15">
      <c r="A20" s="345"/>
      <c r="B20" s="58" t="s">
        <v>103</v>
      </c>
      <c r="C20" s="110" t="s">
        <v>396</v>
      </c>
      <c r="D20" s="345"/>
      <c r="E20" s="58" t="s">
        <v>132</v>
      </c>
      <c r="F20" s="110">
        <v>7</v>
      </c>
    </row>
    <row r="21" spans="1:6" ht="15.6" customHeight="1" x14ac:dyDescent="0.15">
      <c r="A21" s="345"/>
      <c r="B21" s="58" t="s">
        <v>651</v>
      </c>
      <c r="C21" s="110"/>
      <c r="D21" s="345"/>
      <c r="E21" s="58" t="s">
        <v>133</v>
      </c>
      <c r="F21" s="110">
        <v>9</v>
      </c>
    </row>
    <row r="22" spans="1:6" ht="15.6" customHeight="1" x14ac:dyDescent="0.15">
      <c r="A22" s="345"/>
      <c r="B22" s="58" t="s">
        <v>652</v>
      </c>
      <c r="C22" s="110" t="s">
        <v>397</v>
      </c>
      <c r="D22" s="345"/>
      <c r="E22" s="58" t="s">
        <v>134</v>
      </c>
      <c r="F22" s="110" t="s">
        <v>398</v>
      </c>
    </row>
    <row r="23" spans="1:6" ht="15.6" customHeight="1" x14ac:dyDescent="0.15">
      <c r="A23" s="345"/>
      <c r="B23" s="58" t="s">
        <v>104</v>
      </c>
      <c r="C23" s="110"/>
      <c r="D23" s="345"/>
      <c r="E23" s="58" t="s">
        <v>135</v>
      </c>
      <c r="F23" s="110" t="s">
        <v>399</v>
      </c>
    </row>
    <row r="24" spans="1:6" ht="15.6" customHeight="1" x14ac:dyDescent="0.15">
      <c r="A24" s="345"/>
      <c r="B24" s="58" t="s">
        <v>105</v>
      </c>
      <c r="C24" s="110" t="s">
        <v>400</v>
      </c>
      <c r="D24" s="345" t="s">
        <v>136</v>
      </c>
      <c r="E24" s="58" t="s">
        <v>137</v>
      </c>
      <c r="F24" s="110" t="s">
        <v>385</v>
      </c>
    </row>
    <row r="25" spans="1:6" ht="15.6" customHeight="1" x14ac:dyDescent="0.15">
      <c r="A25" s="345"/>
      <c r="B25" s="58" t="s">
        <v>106</v>
      </c>
      <c r="C25" s="110" t="s">
        <v>401</v>
      </c>
      <c r="D25" s="345" t="s">
        <v>138</v>
      </c>
      <c r="E25" s="58" t="s">
        <v>139</v>
      </c>
      <c r="F25" s="110"/>
    </row>
    <row r="26" spans="1:6" ht="15.6" customHeight="1" x14ac:dyDescent="0.15">
      <c r="A26" s="345"/>
      <c r="B26" s="58" t="s">
        <v>653</v>
      </c>
      <c r="C26" s="110" t="s">
        <v>402</v>
      </c>
      <c r="D26" s="345"/>
      <c r="E26" s="58" t="s">
        <v>140</v>
      </c>
      <c r="F26" s="110" t="s">
        <v>403</v>
      </c>
    </row>
    <row r="27" spans="1:6" ht="15.6" customHeight="1" x14ac:dyDescent="0.15">
      <c r="A27" s="345"/>
      <c r="B27" s="58" t="s">
        <v>654</v>
      </c>
      <c r="C27" s="110" t="s">
        <v>392</v>
      </c>
      <c r="D27" s="345"/>
      <c r="E27" s="58" t="s">
        <v>141</v>
      </c>
      <c r="F27" s="110" t="s">
        <v>404</v>
      </c>
    </row>
    <row r="28" spans="1:6" ht="15.6" customHeight="1" x14ac:dyDescent="0.15">
      <c r="A28" s="345"/>
      <c r="B28" s="58" t="s">
        <v>107</v>
      </c>
      <c r="C28" s="110" t="s">
        <v>395</v>
      </c>
      <c r="D28" s="345" t="s">
        <v>142</v>
      </c>
      <c r="E28" s="58" t="s">
        <v>143</v>
      </c>
      <c r="F28" s="110" t="s">
        <v>405</v>
      </c>
    </row>
    <row r="29" spans="1:6" ht="15.6" customHeight="1" x14ac:dyDescent="0.15">
      <c r="A29" s="345"/>
      <c r="B29" s="58" t="s">
        <v>108</v>
      </c>
      <c r="C29" s="110" t="s">
        <v>382</v>
      </c>
      <c r="D29" s="345" t="s">
        <v>144</v>
      </c>
      <c r="E29" s="58" t="s">
        <v>145</v>
      </c>
      <c r="F29" s="110"/>
    </row>
    <row r="30" spans="1:6" ht="15.6" customHeight="1" x14ac:dyDescent="0.15">
      <c r="A30" s="345"/>
      <c r="B30" s="58" t="s">
        <v>109</v>
      </c>
      <c r="C30" s="110" t="s">
        <v>406</v>
      </c>
      <c r="D30" s="345"/>
      <c r="E30" s="58" t="s">
        <v>146</v>
      </c>
      <c r="F30" s="110" t="s">
        <v>407</v>
      </c>
    </row>
    <row r="31" spans="1:6" ht="15.6" customHeight="1" x14ac:dyDescent="0.15">
      <c r="A31" s="345"/>
      <c r="B31" s="58" t="s">
        <v>655</v>
      </c>
      <c r="C31" s="110" t="s">
        <v>408</v>
      </c>
      <c r="D31" s="345"/>
      <c r="E31" s="58" t="s">
        <v>147</v>
      </c>
      <c r="F31" s="110" t="s">
        <v>409</v>
      </c>
    </row>
    <row r="32" spans="1:6" ht="15.6" customHeight="1" x14ac:dyDescent="0.15">
      <c r="A32" s="345"/>
      <c r="B32" s="58" t="s">
        <v>656</v>
      </c>
      <c r="C32" s="110"/>
      <c r="D32" s="345"/>
      <c r="E32" s="58" t="s">
        <v>148</v>
      </c>
      <c r="F32" s="110" t="s">
        <v>410</v>
      </c>
    </row>
    <row r="33" spans="1:6" ht="15.6" customHeight="1" x14ac:dyDescent="0.15">
      <c r="A33" s="345"/>
      <c r="B33" s="58" t="s">
        <v>110</v>
      </c>
      <c r="C33" s="110" t="s">
        <v>411</v>
      </c>
      <c r="D33" s="345"/>
      <c r="E33" s="58" t="s">
        <v>149</v>
      </c>
      <c r="F33" s="110" t="s">
        <v>412</v>
      </c>
    </row>
    <row r="34" spans="1:6" ht="15.6" customHeight="1" x14ac:dyDescent="0.15">
      <c r="A34" s="345"/>
      <c r="B34" s="58" t="s">
        <v>111</v>
      </c>
      <c r="C34" s="110" t="s">
        <v>413</v>
      </c>
      <c r="D34" s="345"/>
      <c r="E34" s="58" t="s">
        <v>150</v>
      </c>
      <c r="F34" s="110" t="s">
        <v>412</v>
      </c>
    </row>
    <row r="35" spans="1:6" ht="15.6" customHeight="1" x14ac:dyDescent="0.15">
      <c r="A35" s="345"/>
      <c r="B35" s="58" t="s">
        <v>112</v>
      </c>
      <c r="C35" s="110" t="s">
        <v>388</v>
      </c>
      <c r="D35" s="345"/>
      <c r="E35" s="58" t="s">
        <v>151</v>
      </c>
      <c r="F35" s="110" t="s">
        <v>414</v>
      </c>
    </row>
    <row r="36" spans="1:6" ht="15.6" customHeight="1" x14ac:dyDescent="0.15">
      <c r="A36" s="345"/>
      <c r="B36" s="58" t="s">
        <v>113</v>
      </c>
      <c r="C36" s="110" t="s">
        <v>404</v>
      </c>
      <c r="D36" s="345"/>
      <c r="E36" s="58" t="s">
        <v>152</v>
      </c>
      <c r="F36" s="110" t="s">
        <v>415</v>
      </c>
    </row>
    <row r="37" spans="1:6" ht="15.6" customHeight="1" x14ac:dyDescent="0.15">
      <c r="A37" s="345"/>
      <c r="B37" s="58" t="s">
        <v>114</v>
      </c>
      <c r="C37" s="110" t="s">
        <v>399</v>
      </c>
      <c r="D37" s="345"/>
      <c r="E37" s="58" t="s">
        <v>153</v>
      </c>
      <c r="F37" s="110" t="s">
        <v>380</v>
      </c>
    </row>
    <row r="38" spans="1:6" ht="15.6" customHeight="1" x14ac:dyDescent="0.15">
      <c r="A38" s="345"/>
      <c r="B38" s="58" t="s">
        <v>115</v>
      </c>
      <c r="C38" s="110" t="s">
        <v>414</v>
      </c>
      <c r="D38" s="345"/>
      <c r="E38" s="58" t="s">
        <v>154</v>
      </c>
      <c r="F38" s="110" t="s">
        <v>411</v>
      </c>
    </row>
    <row r="39" spans="1:6" ht="15.6" customHeight="1" x14ac:dyDescent="0.15">
      <c r="A39" s="345"/>
      <c r="B39" s="58" t="s">
        <v>116</v>
      </c>
      <c r="C39" s="110" t="s">
        <v>416</v>
      </c>
      <c r="D39" s="345"/>
      <c r="E39" s="58" t="s">
        <v>155</v>
      </c>
      <c r="F39" s="110" t="s">
        <v>380</v>
      </c>
    </row>
    <row r="40" spans="1:6" ht="15.6" customHeight="1" x14ac:dyDescent="0.15">
      <c r="A40" s="345"/>
      <c r="B40" s="58" t="s">
        <v>117</v>
      </c>
      <c r="C40" s="110" t="s">
        <v>400</v>
      </c>
      <c r="D40" s="345" t="s">
        <v>156</v>
      </c>
      <c r="E40" s="58" t="s">
        <v>157</v>
      </c>
      <c r="F40" s="110" t="s">
        <v>417</v>
      </c>
    </row>
    <row r="41" spans="1:6" ht="15.6" customHeight="1" x14ac:dyDescent="0.15">
      <c r="A41" s="347"/>
      <c r="B41" s="65" t="s">
        <v>118</v>
      </c>
      <c r="C41" s="112" t="s">
        <v>407</v>
      </c>
      <c r="D41" s="347"/>
      <c r="E41" s="65" t="s">
        <v>158</v>
      </c>
      <c r="F41" s="112"/>
    </row>
    <row r="42" spans="1:6" ht="15.6" customHeight="1" x14ac:dyDescent="0.15">
      <c r="A42" s="144" t="s">
        <v>541</v>
      </c>
      <c r="B42" s="113"/>
    </row>
  </sheetData>
  <mergeCells count="2">
    <mergeCell ref="A5:B5"/>
    <mergeCell ref="D5:E5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41"/>
  <sheetViews>
    <sheetView workbookViewId="0"/>
  </sheetViews>
  <sheetFormatPr defaultRowHeight="12" x14ac:dyDescent="0.15"/>
  <cols>
    <col min="1" max="1" width="2.28515625" style="3" customWidth="1"/>
    <col min="2" max="2" width="19.85546875" style="3" customWidth="1"/>
    <col min="3" max="3" width="2.28515625" style="3" customWidth="1"/>
    <col min="4" max="4" width="19.7109375" style="3" customWidth="1"/>
    <col min="5" max="5" width="1.140625" style="3" customWidth="1"/>
    <col min="6" max="6" width="11.85546875" style="3" customWidth="1"/>
    <col min="7" max="7" width="20" style="3" customWidth="1"/>
    <col min="8" max="8" width="1.140625" style="3" customWidth="1"/>
    <col min="9" max="9" width="16.28515625" style="3" customWidth="1"/>
    <col min="10" max="16384" width="9.140625" style="3"/>
  </cols>
  <sheetData>
    <row r="1" spans="1:9" ht="20.100000000000001" customHeight="1" x14ac:dyDescent="0.15">
      <c r="A1" s="249" t="s">
        <v>219</v>
      </c>
    </row>
    <row r="2" spans="1:9" ht="39.950000000000003" customHeight="1" x14ac:dyDescent="0.15">
      <c r="A2" s="4" t="s">
        <v>159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262"/>
      <c r="B5" s="324" t="s">
        <v>87</v>
      </c>
      <c r="C5" s="292"/>
      <c r="D5" s="328" t="s">
        <v>84</v>
      </c>
      <c r="E5" s="329"/>
      <c r="F5" s="52" t="s">
        <v>85</v>
      </c>
      <c r="G5" s="289" t="s">
        <v>86</v>
      </c>
      <c r="H5" s="339"/>
      <c r="I5" s="291" t="s">
        <v>160</v>
      </c>
    </row>
    <row r="6" spans="1:9" ht="69.95" customHeight="1" x14ac:dyDescent="0.15">
      <c r="A6" s="59"/>
      <c r="B6" s="198"/>
      <c r="C6" s="58"/>
      <c r="D6" s="330" t="s">
        <v>7</v>
      </c>
      <c r="E6" s="331"/>
      <c r="F6" s="61" t="s">
        <v>13</v>
      </c>
      <c r="G6" s="59"/>
      <c r="H6" s="198"/>
      <c r="I6" s="319"/>
    </row>
    <row r="7" spans="1:9" ht="69.95" customHeight="1" x14ac:dyDescent="0.15">
      <c r="A7" s="59"/>
      <c r="B7" s="60" t="s">
        <v>19</v>
      </c>
      <c r="C7" s="58"/>
      <c r="D7" s="332">
        <f>원가!E11</f>
        <v>21150978</v>
      </c>
      <c r="E7" s="333"/>
      <c r="F7" s="62">
        <v>0.87</v>
      </c>
      <c r="G7" s="332">
        <f>TRUNC(D7*F7%)</f>
        <v>184013</v>
      </c>
      <c r="H7" s="335"/>
      <c r="I7" s="319"/>
    </row>
    <row r="8" spans="1:9" ht="69.95" customHeight="1" x14ac:dyDescent="0.15">
      <c r="A8" s="63"/>
      <c r="B8" s="37"/>
      <c r="C8" s="65"/>
      <c r="D8" s="63"/>
      <c r="E8" s="65"/>
      <c r="F8" s="336"/>
      <c r="G8" s="63"/>
      <c r="H8" s="37"/>
      <c r="I8" s="336"/>
    </row>
    <row r="9" spans="1:9" ht="45" customHeight="1" x14ac:dyDescent="0.15">
      <c r="A9" s="323"/>
      <c r="B9" s="324" t="s">
        <v>88</v>
      </c>
      <c r="C9" s="252"/>
      <c r="D9" s="323"/>
      <c r="E9" s="252"/>
      <c r="F9" s="325"/>
      <c r="G9" s="327">
        <f>SUM(G7:G8)</f>
        <v>184013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" t="s">
        <v>238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1"/>
  <sheetViews>
    <sheetView workbookViewId="0"/>
  </sheetViews>
  <sheetFormatPr defaultRowHeight="12" x14ac:dyDescent="0.15"/>
  <cols>
    <col min="1" max="1" width="2.28515625" style="3" customWidth="1"/>
    <col min="2" max="2" width="20" style="3" customWidth="1"/>
    <col min="3" max="3" width="2.28515625" style="3" customWidth="1"/>
    <col min="4" max="4" width="19.85546875" style="3" customWidth="1"/>
    <col min="5" max="5" width="1.28515625" style="3" customWidth="1"/>
    <col min="6" max="6" width="13" style="3" customWidth="1"/>
    <col min="7" max="7" width="20" style="3" customWidth="1"/>
    <col min="8" max="8" width="1" style="3" customWidth="1"/>
    <col min="9" max="9" width="15.42578125" style="3" customWidth="1"/>
    <col min="10" max="16384" width="9.140625" style="3"/>
  </cols>
  <sheetData>
    <row r="1" spans="1:9" ht="20.100000000000001" customHeight="1" x14ac:dyDescent="0.15">
      <c r="A1" s="249" t="s">
        <v>218</v>
      </c>
    </row>
    <row r="2" spans="1:9" ht="39.950000000000003" customHeight="1" x14ac:dyDescent="0.15">
      <c r="A2" s="4" t="s">
        <v>161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262"/>
      <c r="B5" s="324" t="s">
        <v>87</v>
      </c>
      <c r="C5" s="292"/>
      <c r="D5" s="328" t="s">
        <v>165</v>
      </c>
      <c r="E5" s="329"/>
      <c r="F5" s="52" t="s">
        <v>85</v>
      </c>
      <c r="G5" s="289" t="s">
        <v>86</v>
      </c>
      <c r="H5" s="339"/>
      <c r="I5" s="291" t="s">
        <v>160</v>
      </c>
    </row>
    <row r="6" spans="1:9" ht="69.95" customHeight="1" x14ac:dyDescent="0.15">
      <c r="A6" s="59"/>
      <c r="B6" s="198"/>
      <c r="C6" s="58"/>
      <c r="D6" s="330" t="s">
        <v>7</v>
      </c>
      <c r="E6" s="331"/>
      <c r="F6" s="61" t="s">
        <v>13</v>
      </c>
      <c r="G6" s="59"/>
      <c r="H6" s="198"/>
      <c r="I6" s="319"/>
    </row>
    <row r="7" spans="1:9" ht="69.95" customHeight="1" x14ac:dyDescent="0.15">
      <c r="A7" s="59"/>
      <c r="B7" s="60" t="s">
        <v>20</v>
      </c>
      <c r="C7" s="58"/>
      <c r="D7" s="332">
        <f>원가!E9</f>
        <v>20143789</v>
      </c>
      <c r="E7" s="333"/>
      <c r="F7" s="334">
        <v>1.7</v>
      </c>
      <c r="G7" s="332">
        <f>TRUNC(D7*F7%)</f>
        <v>342444</v>
      </c>
      <c r="H7" s="335"/>
      <c r="I7" s="319"/>
    </row>
    <row r="8" spans="1:9" ht="69.95" customHeight="1" x14ac:dyDescent="0.15">
      <c r="A8" s="63"/>
      <c r="B8" s="37"/>
      <c r="C8" s="65"/>
      <c r="D8" s="63"/>
      <c r="E8" s="65"/>
      <c r="F8" s="336"/>
      <c r="G8" s="63"/>
      <c r="H8" s="37"/>
      <c r="I8" s="336"/>
    </row>
    <row r="9" spans="1:9" ht="45" customHeight="1" x14ac:dyDescent="0.15">
      <c r="A9" s="323"/>
      <c r="B9" s="324" t="s">
        <v>88</v>
      </c>
      <c r="C9" s="252"/>
      <c r="D9" s="323"/>
      <c r="E9" s="252"/>
      <c r="F9" s="325"/>
      <c r="G9" s="327">
        <f>SUM(G7:G8)</f>
        <v>342444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" t="s">
        <v>237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41"/>
  <sheetViews>
    <sheetView workbookViewId="0"/>
  </sheetViews>
  <sheetFormatPr defaultRowHeight="12" x14ac:dyDescent="0.15"/>
  <cols>
    <col min="1" max="1" width="2.28515625" style="3" customWidth="1"/>
    <col min="2" max="2" width="20" style="3" customWidth="1"/>
    <col min="3" max="3" width="2.28515625" style="3" customWidth="1"/>
    <col min="4" max="4" width="19" style="3" customWidth="1"/>
    <col min="5" max="5" width="1.5703125" style="3" customWidth="1"/>
    <col min="6" max="6" width="13.28515625" style="3" customWidth="1"/>
    <col min="7" max="7" width="19.7109375" style="3" customWidth="1"/>
    <col min="8" max="8" width="1.42578125" style="3" customWidth="1"/>
    <col min="9" max="9" width="15.28515625" style="3" customWidth="1"/>
    <col min="10" max="16384" width="9.140625" style="3"/>
  </cols>
  <sheetData>
    <row r="1" spans="1:9" ht="20.100000000000001" customHeight="1" x14ac:dyDescent="0.15">
      <c r="A1" s="249" t="s">
        <v>217</v>
      </c>
    </row>
    <row r="2" spans="1:9" ht="39.950000000000003" customHeight="1" x14ac:dyDescent="0.15">
      <c r="A2" s="4" t="s">
        <v>162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262"/>
      <c r="B5" s="324" t="s">
        <v>87</v>
      </c>
      <c r="C5" s="292"/>
      <c r="D5" s="328" t="s">
        <v>165</v>
      </c>
      <c r="E5" s="329"/>
      <c r="F5" s="52" t="s">
        <v>85</v>
      </c>
      <c r="G5" s="289" t="s">
        <v>86</v>
      </c>
      <c r="H5" s="339"/>
      <c r="I5" s="291" t="s">
        <v>160</v>
      </c>
    </row>
    <row r="6" spans="1:9" ht="69.95" customHeight="1" x14ac:dyDescent="0.15">
      <c r="A6" s="59"/>
      <c r="B6" s="198"/>
      <c r="C6" s="58"/>
      <c r="D6" s="330" t="s">
        <v>7</v>
      </c>
      <c r="E6" s="331"/>
      <c r="F6" s="61" t="s">
        <v>13</v>
      </c>
      <c r="G6" s="59"/>
      <c r="H6" s="198"/>
      <c r="I6" s="319"/>
    </row>
    <row r="7" spans="1:9" ht="69.95" customHeight="1" x14ac:dyDescent="0.15">
      <c r="A7" s="59"/>
      <c r="B7" s="60" t="s">
        <v>3</v>
      </c>
      <c r="C7" s="58"/>
      <c r="D7" s="332">
        <f>원가!E9</f>
        <v>20143789</v>
      </c>
      <c r="E7" s="333"/>
      <c r="F7" s="334">
        <v>2.4900000000000002</v>
      </c>
      <c r="G7" s="332">
        <f>TRUNC(D7*F7%)</f>
        <v>501580</v>
      </c>
      <c r="H7" s="335"/>
      <c r="I7" s="319"/>
    </row>
    <row r="8" spans="1:9" ht="69.95" customHeight="1" x14ac:dyDescent="0.15">
      <c r="A8" s="63"/>
      <c r="B8" s="37"/>
      <c r="C8" s="65"/>
      <c r="D8" s="63"/>
      <c r="E8" s="65"/>
      <c r="F8" s="336"/>
      <c r="G8" s="63"/>
      <c r="H8" s="37"/>
      <c r="I8" s="336"/>
    </row>
    <row r="9" spans="1:9" ht="45" customHeight="1" x14ac:dyDescent="0.15">
      <c r="A9" s="323"/>
      <c r="B9" s="324" t="s">
        <v>88</v>
      </c>
      <c r="C9" s="252"/>
      <c r="D9" s="323"/>
      <c r="E9" s="252"/>
      <c r="F9" s="325"/>
      <c r="G9" s="327">
        <f>SUM(G7:G8)</f>
        <v>501580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" t="s">
        <v>237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41"/>
  <sheetViews>
    <sheetView workbookViewId="0"/>
  </sheetViews>
  <sheetFormatPr defaultRowHeight="12" x14ac:dyDescent="0.15"/>
  <cols>
    <col min="1" max="1" width="2.28515625" style="3" customWidth="1"/>
    <col min="2" max="2" width="19.7109375" style="3" customWidth="1"/>
    <col min="3" max="3" width="2.28515625" style="3" customWidth="1"/>
    <col min="4" max="4" width="18.140625" style="3" customWidth="1"/>
    <col min="5" max="5" width="1.5703125" style="3" customWidth="1"/>
    <col min="6" max="6" width="13.140625" style="3" customWidth="1"/>
    <col min="7" max="7" width="21.140625" style="3" customWidth="1"/>
    <col min="8" max="8" width="1.140625" style="3" customWidth="1"/>
    <col min="9" max="9" width="15.7109375" style="3" customWidth="1"/>
    <col min="10" max="16384" width="9.140625" style="3"/>
  </cols>
  <sheetData>
    <row r="1" spans="1:9" ht="20.100000000000001" customHeight="1" x14ac:dyDescent="0.15">
      <c r="A1" s="249" t="s">
        <v>216</v>
      </c>
    </row>
    <row r="2" spans="1:9" ht="39.950000000000003" customHeight="1" x14ac:dyDescent="0.15">
      <c r="A2" s="4" t="s">
        <v>163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262"/>
      <c r="B5" s="324" t="s">
        <v>87</v>
      </c>
      <c r="C5" s="292"/>
      <c r="D5" s="328" t="s">
        <v>166</v>
      </c>
      <c r="E5" s="329"/>
      <c r="F5" s="52" t="s">
        <v>85</v>
      </c>
      <c r="G5" s="262" t="s">
        <v>86</v>
      </c>
      <c r="H5" s="324"/>
      <c r="I5" s="291" t="s">
        <v>160</v>
      </c>
    </row>
    <row r="6" spans="1:9" ht="69.95" customHeight="1" x14ac:dyDescent="0.15">
      <c r="A6" s="59"/>
      <c r="B6" s="198"/>
      <c r="C6" s="58"/>
      <c r="D6" s="330" t="s">
        <v>7</v>
      </c>
      <c r="E6" s="331"/>
      <c r="F6" s="61" t="s">
        <v>13</v>
      </c>
      <c r="G6" s="59"/>
      <c r="H6" s="198"/>
      <c r="I6" s="319"/>
    </row>
    <row r="7" spans="1:9" ht="69.95" customHeight="1" x14ac:dyDescent="0.15">
      <c r="A7" s="59"/>
      <c r="B7" s="60" t="s">
        <v>164</v>
      </c>
      <c r="C7" s="58"/>
      <c r="D7" s="332">
        <f>원가!E15</f>
        <v>0</v>
      </c>
      <c r="E7" s="333"/>
      <c r="F7" s="334">
        <v>6.55</v>
      </c>
      <c r="G7" s="332">
        <f>TRUNC(D7*F7%)</f>
        <v>0</v>
      </c>
      <c r="H7" s="335"/>
      <c r="I7" s="319"/>
    </row>
    <row r="8" spans="1:9" ht="69.95" customHeight="1" x14ac:dyDescent="0.15">
      <c r="A8" s="63"/>
      <c r="B8" s="37"/>
      <c r="C8" s="65"/>
      <c r="D8" s="63"/>
      <c r="E8" s="65"/>
      <c r="F8" s="336"/>
      <c r="G8" s="63"/>
      <c r="H8" s="37"/>
      <c r="I8" s="336"/>
    </row>
    <row r="9" spans="1:9" ht="45" customHeight="1" x14ac:dyDescent="0.15">
      <c r="A9" s="323"/>
      <c r="B9" s="324" t="s">
        <v>88</v>
      </c>
      <c r="C9" s="252"/>
      <c r="D9" s="323"/>
      <c r="E9" s="252"/>
      <c r="F9" s="325"/>
      <c r="G9" s="327">
        <f>SUM(G7:G8)</f>
        <v>0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38" t="s">
        <v>515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41"/>
  <sheetViews>
    <sheetView workbookViewId="0"/>
  </sheetViews>
  <sheetFormatPr defaultRowHeight="12" x14ac:dyDescent="0.15"/>
  <cols>
    <col min="1" max="1" width="2.28515625" style="3" customWidth="1"/>
    <col min="2" max="2" width="20.7109375" style="3" customWidth="1"/>
    <col min="3" max="3" width="2.28515625" style="3" customWidth="1"/>
    <col min="4" max="4" width="18.7109375" style="3" customWidth="1"/>
    <col min="5" max="5" width="1.5703125" style="3" customWidth="1"/>
    <col min="6" max="6" width="14.28515625" style="3" customWidth="1"/>
    <col min="7" max="7" width="20.5703125" style="3" customWidth="1"/>
    <col min="8" max="8" width="1.42578125" style="3" customWidth="1"/>
    <col min="9" max="9" width="13.28515625" style="3" customWidth="1"/>
    <col min="10" max="16384" width="9.140625" style="3"/>
  </cols>
  <sheetData>
    <row r="1" spans="1:9" ht="20.100000000000001" customHeight="1" x14ac:dyDescent="0.15">
      <c r="A1" s="249" t="s">
        <v>215</v>
      </c>
    </row>
    <row r="2" spans="1:9" ht="39.950000000000003" customHeight="1" x14ac:dyDescent="0.15">
      <c r="A2" s="4" t="s">
        <v>167</v>
      </c>
      <c r="B2" s="4"/>
      <c r="C2" s="4"/>
      <c r="D2" s="4"/>
      <c r="E2" s="4"/>
      <c r="F2" s="4"/>
      <c r="G2" s="4"/>
      <c r="H2" s="4"/>
      <c r="I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0.100000000000001" customHeight="1" x14ac:dyDescent="0.15">
      <c r="I4" s="40" t="s">
        <v>89</v>
      </c>
    </row>
    <row r="5" spans="1:9" ht="50.1" customHeight="1" x14ac:dyDescent="0.15">
      <c r="A5" s="262"/>
      <c r="B5" s="324" t="s">
        <v>87</v>
      </c>
      <c r="C5" s="292"/>
      <c r="D5" s="328" t="s">
        <v>165</v>
      </c>
      <c r="E5" s="329"/>
      <c r="F5" s="52" t="s">
        <v>85</v>
      </c>
      <c r="G5" s="262" t="s">
        <v>86</v>
      </c>
      <c r="H5" s="324"/>
      <c r="I5" s="291" t="s">
        <v>160</v>
      </c>
    </row>
    <row r="6" spans="1:9" ht="69.95" customHeight="1" x14ac:dyDescent="0.15">
      <c r="A6" s="59"/>
      <c r="B6" s="198"/>
      <c r="C6" s="58"/>
      <c r="D6" s="330" t="s">
        <v>7</v>
      </c>
      <c r="E6" s="331"/>
      <c r="F6" s="61" t="s">
        <v>13</v>
      </c>
      <c r="G6" s="59"/>
      <c r="H6" s="198"/>
      <c r="I6" s="319"/>
    </row>
    <row r="7" spans="1:9" ht="69.95" customHeight="1" x14ac:dyDescent="0.15">
      <c r="A7" s="59"/>
      <c r="B7" s="60" t="s">
        <v>21</v>
      </c>
      <c r="C7" s="58"/>
      <c r="D7" s="332">
        <f>원가!E9</f>
        <v>20143789</v>
      </c>
      <c r="E7" s="333"/>
      <c r="F7" s="334">
        <v>2.2999999999999998</v>
      </c>
      <c r="G7" s="332">
        <f>TRUNC(D7*F7%)</f>
        <v>463307</v>
      </c>
      <c r="H7" s="335"/>
      <c r="I7" s="319"/>
    </row>
    <row r="8" spans="1:9" ht="69.95" customHeight="1" x14ac:dyDescent="0.15">
      <c r="A8" s="63"/>
      <c r="B8" s="37"/>
      <c r="C8" s="65"/>
      <c r="D8" s="63"/>
      <c r="E8" s="65"/>
      <c r="F8" s="336"/>
      <c r="G8" s="63"/>
      <c r="H8" s="37"/>
      <c r="I8" s="336"/>
    </row>
    <row r="9" spans="1:9" ht="45" customHeight="1" x14ac:dyDescent="0.15">
      <c r="A9" s="323"/>
      <c r="B9" s="324" t="s">
        <v>88</v>
      </c>
      <c r="C9" s="252"/>
      <c r="D9" s="323"/>
      <c r="E9" s="252"/>
      <c r="F9" s="325"/>
      <c r="G9" s="327">
        <f>SUM(G7:G8)</f>
        <v>463307</v>
      </c>
      <c r="H9" s="337"/>
      <c r="I9" s="325"/>
    </row>
    <row r="10" spans="1:9" ht="20.100000000000001" customHeight="1" x14ac:dyDescent="0.15">
      <c r="A10" s="3" t="str">
        <f>"주 1) 적용대상액 : "&amp;원가!A1&amp;" 참조"</f>
        <v>주 1) 적용대상액 : 원가계산서 참조</v>
      </c>
    </row>
    <row r="11" spans="1:9" ht="20.100000000000001" customHeight="1" x14ac:dyDescent="0.15">
      <c r="A11" s="3" t="s">
        <v>239</v>
      </c>
    </row>
    <row r="12" spans="1:9" ht="20.100000000000001" customHeight="1" x14ac:dyDescent="0.15"/>
    <row r="13" spans="1:9" ht="20.100000000000001" customHeight="1" x14ac:dyDescent="0.15"/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7"/>
  <sheetViews>
    <sheetView tabSelected="1" view="pageBreakPreview" zoomScaleSheetLayoutView="100" workbookViewId="0">
      <selection activeCell="P6" sqref="P6:P11"/>
    </sheetView>
  </sheetViews>
  <sheetFormatPr defaultRowHeight="12" x14ac:dyDescent="0.15"/>
  <cols>
    <col min="1" max="1" width="9" style="674" customWidth="1"/>
    <col min="2" max="2" width="4.85546875" style="674" hidden="1" customWidth="1"/>
    <col min="3" max="3" width="0.7109375" style="674" customWidth="1"/>
    <col min="4" max="4" width="22.85546875" style="674" customWidth="1"/>
    <col min="5" max="5" width="0.7109375" style="674" customWidth="1"/>
    <col min="6" max="6" width="20.5703125" style="674" customWidth="1"/>
    <col min="7" max="8" width="8.85546875" style="674" customWidth="1"/>
    <col min="9" max="9" width="8.5703125" style="674" hidden="1" customWidth="1"/>
    <col min="10" max="10" width="15.7109375" style="674" customWidth="1"/>
    <col min="11" max="11" width="0.7109375" style="674" customWidth="1"/>
    <col min="12" max="12" width="15.7109375" style="674" customWidth="1"/>
    <col min="13" max="13" width="0.7109375" style="674" customWidth="1"/>
    <col min="14" max="14" width="13.42578125" style="674" customWidth="1"/>
    <col min="15" max="15" width="0.7109375" style="674" customWidth="1"/>
    <col min="16" max="16" width="19.42578125" style="674" customWidth="1"/>
    <col min="17" max="17" width="0.7109375" style="674" customWidth="1"/>
    <col min="18" max="18" width="1.28515625" style="674" customWidth="1"/>
    <col min="19" max="19" width="7.140625" style="674" customWidth="1"/>
    <col min="20" max="20" width="1.28515625" style="674" customWidth="1"/>
    <col min="21" max="16384" width="9.140625" style="674"/>
  </cols>
  <sheetData>
    <row r="1" spans="1:22" ht="20.100000000000001" customHeight="1" x14ac:dyDescent="0.15">
      <c r="A1" s="674" t="s">
        <v>233</v>
      </c>
    </row>
    <row r="2" spans="1:22" ht="30" customHeight="1" x14ac:dyDescent="0.15">
      <c r="A2" s="690" t="s">
        <v>1190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22" ht="13.5" customHeight="1" x14ac:dyDescent="0.15">
      <c r="A3" s="689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</row>
    <row r="4" spans="1:22" ht="20.100000000000001" customHeight="1" x14ac:dyDescent="0.15">
      <c r="A4" s="674" t="str">
        <f>원가!A3</f>
        <v>건명 : 실학박물관 중앙홀 환경개선공사</v>
      </c>
      <c r="T4" s="688" t="s">
        <v>89</v>
      </c>
    </row>
    <row r="5" spans="1:22" ht="49.5" customHeight="1" x14ac:dyDescent="0.15">
      <c r="A5" s="894" t="s">
        <v>623</v>
      </c>
      <c r="B5" s="896"/>
      <c r="C5" s="894" t="s">
        <v>347</v>
      </c>
      <c r="D5" s="896"/>
      <c r="E5" s="894" t="s">
        <v>372</v>
      </c>
      <c r="F5" s="896"/>
      <c r="G5" s="682" t="s">
        <v>619</v>
      </c>
      <c r="H5" s="682" t="s">
        <v>725</v>
      </c>
      <c r="I5" s="687"/>
      <c r="J5" s="893" t="s">
        <v>981</v>
      </c>
      <c r="K5" s="893"/>
      <c r="L5" s="893" t="s">
        <v>171</v>
      </c>
      <c r="M5" s="893"/>
      <c r="N5" s="893" t="s">
        <v>194</v>
      </c>
      <c r="O5" s="893"/>
      <c r="P5" s="893" t="s">
        <v>1063</v>
      </c>
      <c r="Q5" s="893"/>
      <c r="R5" s="894" t="s">
        <v>160</v>
      </c>
      <c r="S5" s="895"/>
      <c r="T5" s="896"/>
    </row>
    <row r="6" spans="1:22" ht="18" customHeight="1" x14ac:dyDescent="0.15">
      <c r="A6" s="704">
        <v>1</v>
      </c>
      <c r="B6" s="704"/>
      <c r="C6" s="705"/>
      <c r="D6" s="686" t="s">
        <v>1252</v>
      </c>
      <c r="E6" s="683"/>
      <c r="F6" s="678"/>
      <c r="G6" s="721" t="s">
        <v>1107</v>
      </c>
      <c r="H6" s="724">
        <v>1</v>
      </c>
      <c r="I6" s="680"/>
      <c r="J6" s="390">
        <f>VLOOKUP($U:$U,내역!$I:$X,3,FALSE)</f>
        <v>529211</v>
      </c>
      <c r="K6" s="391"/>
      <c r="L6" s="390">
        <f>VLOOKUP($U:$U,내역!$I:$X,5,FALSE)</f>
        <v>1830443</v>
      </c>
      <c r="M6" s="391"/>
      <c r="N6" s="390">
        <f>VLOOKUP($U:$U,내역!$I:$X,7,FALSE)</f>
        <v>0</v>
      </c>
      <c r="O6" s="391"/>
      <c r="P6" s="390">
        <f t="shared" ref="P6:P11" si="0">SUM(J6,L6,N6)</f>
        <v>2359654</v>
      </c>
      <c r="Q6" s="391"/>
      <c r="R6" s="363"/>
      <c r="S6" s="679"/>
      <c r="T6" s="678"/>
      <c r="U6" s="674" t="s">
        <v>1253</v>
      </c>
      <c r="V6" s="674" t="s">
        <v>1108</v>
      </c>
    </row>
    <row r="7" spans="1:22" ht="18" customHeight="1" x14ac:dyDescent="0.15">
      <c r="A7" s="704">
        <v>2</v>
      </c>
      <c r="B7" s="704"/>
      <c r="C7" s="705"/>
      <c r="D7" s="686" t="s">
        <v>1452</v>
      </c>
      <c r="E7" s="683"/>
      <c r="F7" s="678"/>
      <c r="G7" s="721" t="s">
        <v>1107</v>
      </c>
      <c r="H7" s="724">
        <v>1</v>
      </c>
      <c r="I7" s="680"/>
      <c r="J7" s="390">
        <f>VLOOKUP($U:$U,내역!$I:$X,3,FALSE)</f>
        <v>1346072</v>
      </c>
      <c r="K7" s="391"/>
      <c r="L7" s="390">
        <f>VLOOKUP($U:$U,내역!$I:$X,5,FALSE)</f>
        <v>923085</v>
      </c>
      <c r="M7" s="391"/>
      <c r="N7" s="390">
        <f>VLOOKUP($U:$U,내역!$I:$X,7,FALSE)</f>
        <v>0</v>
      </c>
      <c r="O7" s="391"/>
      <c r="P7" s="390">
        <f t="shared" si="0"/>
        <v>2269157</v>
      </c>
      <c r="Q7" s="391"/>
      <c r="R7" s="363"/>
      <c r="S7" s="679"/>
      <c r="T7" s="678"/>
      <c r="U7" s="674" t="s">
        <v>1452</v>
      </c>
      <c r="V7" s="674" t="s">
        <v>1108</v>
      </c>
    </row>
    <row r="8" spans="1:22" ht="18" customHeight="1" x14ac:dyDescent="0.15">
      <c r="A8" s="704">
        <v>3</v>
      </c>
      <c r="B8" s="704"/>
      <c r="C8" s="705"/>
      <c r="D8" s="686" t="s">
        <v>1247</v>
      </c>
      <c r="E8" s="683"/>
      <c r="F8" s="678"/>
      <c r="G8" s="721" t="s">
        <v>1107</v>
      </c>
      <c r="H8" s="724">
        <v>1</v>
      </c>
      <c r="I8" s="680"/>
      <c r="J8" s="390">
        <f>VLOOKUP($U:$U,내역!$I:$X,3,FALSE)</f>
        <v>4309253</v>
      </c>
      <c r="K8" s="391"/>
      <c r="L8" s="390">
        <f>VLOOKUP($U:$U,내역!$I:$X,5,FALSE)</f>
        <v>8563161</v>
      </c>
      <c r="M8" s="391"/>
      <c r="N8" s="390">
        <f>VLOOKUP($U:$U,내역!$I:$X,7,FALSE)</f>
        <v>4387</v>
      </c>
      <c r="O8" s="391"/>
      <c r="P8" s="390">
        <f t="shared" si="0"/>
        <v>12876801</v>
      </c>
      <c r="Q8" s="391"/>
      <c r="R8" s="363"/>
      <c r="S8" s="679"/>
      <c r="T8" s="678"/>
      <c r="U8" s="674" t="s">
        <v>1249</v>
      </c>
      <c r="V8" s="674" t="s">
        <v>1108</v>
      </c>
    </row>
    <row r="9" spans="1:22" ht="18" customHeight="1" x14ac:dyDescent="0.15">
      <c r="A9" s="811">
        <v>4</v>
      </c>
      <c r="B9" s="704"/>
      <c r="C9" s="705"/>
      <c r="D9" s="686" t="s">
        <v>1248</v>
      </c>
      <c r="E9" s="683"/>
      <c r="F9" s="678"/>
      <c r="G9" s="721" t="s">
        <v>1107</v>
      </c>
      <c r="H9" s="724">
        <v>1</v>
      </c>
      <c r="I9" s="680"/>
      <c r="J9" s="390">
        <f>VLOOKUP($U:$U,내역!$I:$X,3,FALSE)</f>
        <v>35527279</v>
      </c>
      <c r="K9" s="391"/>
      <c r="L9" s="390">
        <f>VLOOKUP($U:$U,내역!$I:$X,5,FALSE)</f>
        <v>6571302</v>
      </c>
      <c r="M9" s="391"/>
      <c r="N9" s="390">
        <f>VLOOKUP($U:$U,내역!$I:$X,7,FALSE)</f>
        <v>2217</v>
      </c>
      <c r="O9" s="391"/>
      <c r="P9" s="390">
        <f t="shared" si="0"/>
        <v>42100798</v>
      </c>
      <c r="Q9" s="391"/>
      <c r="R9" s="363"/>
      <c r="S9" s="679"/>
      <c r="T9" s="678"/>
      <c r="U9" s="674" t="s">
        <v>1250</v>
      </c>
      <c r="V9" s="674" t="s">
        <v>1108</v>
      </c>
    </row>
    <row r="10" spans="1:22" ht="18" customHeight="1" x14ac:dyDescent="0.15">
      <c r="A10" s="811">
        <v>5</v>
      </c>
      <c r="B10" s="811"/>
      <c r="C10" s="812"/>
      <c r="D10" s="686" t="s">
        <v>1208</v>
      </c>
      <c r="E10" s="683"/>
      <c r="F10" s="678"/>
      <c r="G10" s="811" t="s">
        <v>1107</v>
      </c>
      <c r="H10" s="724">
        <v>1</v>
      </c>
      <c r="I10" s="680"/>
      <c r="J10" s="390">
        <f>VLOOKUP($U:$U,내역!$I:$X,3,FALSE)</f>
        <v>3621000</v>
      </c>
      <c r="K10" s="391"/>
      <c r="L10" s="390">
        <f>VLOOKUP($U:$U,내역!$I:$X,5,FALSE)</f>
        <v>0</v>
      </c>
      <c r="M10" s="391"/>
      <c r="N10" s="390">
        <f>VLOOKUP($U:$U,내역!$I:$X,7,FALSE)</f>
        <v>0</v>
      </c>
      <c r="O10" s="391"/>
      <c r="P10" s="390">
        <f t="shared" si="0"/>
        <v>3621000</v>
      </c>
      <c r="Q10" s="391"/>
      <c r="R10" s="363"/>
      <c r="S10" s="679"/>
      <c r="T10" s="678"/>
      <c r="U10" s="674" t="s">
        <v>1251</v>
      </c>
      <c r="V10" s="674" t="s">
        <v>1108</v>
      </c>
    </row>
    <row r="11" spans="1:22" ht="18" customHeight="1" x14ac:dyDescent="0.15">
      <c r="A11" s="859">
        <v>6</v>
      </c>
      <c r="B11" s="859"/>
      <c r="C11" s="860"/>
      <c r="D11" s="686" t="s">
        <v>1488</v>
      </c>
      <c r="E11" s="683"/>
      <c r="F11" s="678"/>
      <c r="G11" s="859" t="s">
        <v>1107</v>
      </c>
      <c r="H11" s="724">
        <v>1</v>
      </c>
      <c r="I11" s="680"/>
      <c r="J11" s="390">
        <f>VLOOKUP($U:$U,내역!$I:$X,3,FALSE)</f>
        <v>13680000</v>
      </c>
      <c r="K11" s="391"/>
      <c r="L11" s="390">
        <f>VLOOKUP($U:$U,내역!$I:$X,5,FALSE)</f>
        <v>2255798</v>
      </c>
      <c r="M11" s="391"/>
      <c r="N11" s="390">
        <f>VLOOKUP($U:$U,내역!$I:$X,7,FALSE)</f>
        <v>0</v>
      </c>
      <c r="O11" s="391"/>
      <c r="P11" s="390">
        <f t="shared" si="0"/>
        <v>15935798</v>
      </c>
      <c r="Q11" s="391"/>
      <c r="R11" s="363"/>
      <c r="S11" s="679"/>
      <c r="T11" s="678"/>
      <c r="U11" s="674" t="s">
        <v>1489</v>
      </c>
      <c r="V11" s="674" t="s">
        <v>1108</v>
      </c>
    </row>
    <row r="12" spans="1:22" ht="18" customHeight="1" x14ac:dyDescent="0.15">
      <c r="A12" s="725"/>
      <c r="B12" s="725"/>
      <c r="C12" s="726"/>
      <c r="D12" s="727"/>
      <c r="E12" s="728"/>
      <c r="F12" s="729"/>
      <c r="G12" s="725"/>
      <c r="H12" s="730"/>
      <c r="I12" s="731"/>
      <c r="J12" s="732"/>
      <c r="K12" s="733"/>
      <c r="L12" s="732"/>
      <c r="M12" s="733"/>
      <c r="N12" s="732"/>
      <c r="O12" s="733"/>
      <c r="P12" s="732"/>
      <c r="Q12" s="733"/>
      <c r="R12" s="734"/>
      <c r="S12" s="735"/>
      <c r="T12" s="729"/>
    </row>
    <row r="13" spans="1:22" ht="18" customHeight="1" x14ac:dyDescent="0.15">
      <c r="A13" s="725"/>
      <c r="B13" s="725"/>
      <c r="C13" s="726"/>
      <c r="D13" s="727"/>
      <c r="E13" s="728"/>
      <c r="F13" s="729"/>
      <c r="G13" s="725"/>
      <c r="H13" s="730"/>
      <c r="I13" s="731"/>
      <c r="J13" s="732"/>
      <c r="K13" s="733"/>
      <c r="L13" s="732"/>
      <c r="M13" s="733"/>
      <c r="N13" s="732"/>
      <c r="O13" s="733"/>
      <c r="P13" s="732"/>
      <c r="Q13" s="733"/>
      <c r="R13" s="734"/>
      <c r="S13" s="735"/>
      <c r="T13" s="729"/>
    </row>
    <row r="14" spans="1:22" ht="18" customHeight="1" x14ac:dyDescent="0.15">
      <c r="A14" s="725"/>
      <c r="B14" s="725"/>
      <c r="C14" s="726"/>
      <c r="D14" s="727"/>
      <c r="E14" s="728"/>
      <c r="F14" s="729"/>
      <c r="G14" s="725"/>
      <c r="H14" s="730"/>
      <c r="I14" s="731"/>
      <c r="J14" s="732"/>
      <c r="K14" s="733"/>
      <c r="L14" s="732"/>
      <c r="M14" s="733"/>
      <c r="N14" s="732"/>
      <c r="O14" s="733"/>
      <c r="P14" s="732"/>
      <c r="Q14" s="733"/>
      <c r="R14" s="734"/>
      <c r="S14" s="735"/>
      <c r="T14" s="729"/>
    </row>
    <row r="15" spans="1:22" ht="18" customHeight="1" x14ac:dyDescent="0.15">
      <c r="A15" s="725"/>
      <c r="B15" s="725"/>
      <c r="C15" s="726"/>
      <c r="D15" s="727"/>
      <c r="E15" s="728"/>
      <c r="F15" s="729"/>
      <c r="G15" s="725"/>
      <c r="H15" s="730"/>
      <c r="I15" s="731"/>
      <c r="J15" s="732"/>
      <c r="K15" s="733"/>
      <c r="L15" s="732"/>
      <c r="M15" s="733"/>
      <c r="N15" s="732"/>
      <c r="O15" s="733"/>
      <c r="P15" s="732"/>
      <c r="Q15" s="733"/>
      <c r="R15" s="734"/>
      <c r="S15" s="735"/>
      <c r="T15" s="729"/>
    </row>
    <row r="16" spans="1:22" ht="18" customHeight="1" x14ac:dyDescent="0.15">
      <c r="A16" s="725"/>
      <c r="B16" s="725"/>
      <c r="C16" s="726"/>
      <c r="D16" s="727"/>
      <c r="E16" s="728"/>
      <c r="F16" s="729"/>
      <c r="G16" s="725"/>
      <c r="H16" s="730"/>
      <c r="I16" s="731"/>
      <c r="J16" s="732"/>
      <c r="K16" s="733"/>
      <c r="L16" s="732"/>
      <c r="M16" s="733"/>
      <c r="N16" s="732"/>
      <c r="O16" s="733"/>
      <c r="P16" s="732"/>
      <c r="Q16" s="733"/>
      <c r="R16" s="734"/>
      <c r="S16" s="735"/>
      <c r="T16" s="729"/>
    </row>
    <row r="17" spans="1:22" ht="18" customHeight="1" x14ac:dyDescent="0.15">
      <c r="A17" s="725"/>
      <c r="B17" s="725"/>
      <c r="C17" s="726"/>
      <c r="D17" s="727"/>
      <c r="E17" s="728"/>
      <c r="F17" s="729"/>
      <c r="G17" s="725"/>
      <c r="H17" s="730"/>
      <c r="I17" s="731"/>
      <c r="J17" s="732"/>
      <c r="K17" s="733"/>
      <c r="L17" s="732"/>
      <c r="M17" s="733"/>
      <c r="N17" s="732"/>
      <c r="O17" s="733"/>
      <c r="P17" s="732"/>
      <c r="Q17" s="733"/>
      <c r="R17" s="734"/>
      <c r="S17" s="735"/>
      <c r="T17" s="729"/>
    </row>
    <row r="18" spans="1:22" ht="18" customHeight="1" x14ac:dyDescent="0.15">
      <c r="A18" s="725"/>
      <c r="B18" s="725"/>
      <c r="C18" s="726"/>
      <c r="D18" s="727"/>
      <c r="E18" s="728"/>
      <c r="F18" s="729"/>
      <c r="G18" s="725"/>
      <c r="H18" s="730"/>
      <c r="I18" s="731"/>
      <c r="J18" s="732"/>
      <c r="K18" s="733"/>
      <c r="L18" s="732"/>
      <c r="M18" s="733"/>
      <c r="N18" s="732"/>
      <c r="O18" s="733"/>
      <c r="P18" s="732"/>
      <c r="Q18" s="733"/>
      <c r="R18" s="734"/>
      <c r="S18" s="735"/>
      <c r="T18" s="729"/>
    </row>
    <row r="19" spans="1:22" ht="18" customHeight="1" x14ac:dyDescent="0.15">
      <c r="A19" s="725"/>
      <c r="B19" s="725"/>
      <c r="C19" s="726"/>
      <c r="D19" s="727"/>
      <c r="E19" s="728"/>
      <c r="F19" s="729"/>
      <c r="G19" s="725"/>
      <c r="H19" s="730"/>
      <c r="I19" s="731"/>
      <c r="J19" s="732"/>
      <c r="K19" s="733"/>
      <c r="L19" s="732"/>
      <c r="M19" s="733"/>
      <c r="N19" s="732"/>
      <c r="O19" s="733"/>
      <c r="P19" s="732"/>
      <c r="Q19" s="733"/>
      <c r="R19" s="734"/>
      <c r="S19" s="735"/>
      <c r="T19" s="729"/>
    </row>
    <row r="20" spans="1:22" ht="18" customHeight="1" x14ac:dyDescent="0.15">
      <c r="A20" s="682"/>
      <c r="B20" s="682"/>
      <c r="C20" s="687"/>
      <c r="D20" s="686"/>
      <c r="E20" s="683"/>
      <c r="F20" s="678"/>
      <c r="G20" s="682"/>
      <c r="H20" s="681"/>
      <c r="I20" s="680"/>
      <c r="J20" s="390"/>
      <c r="K20" s="391"/>
      <c r="L20" s="390"/>
      <c r="M20" s="391"/>
      <c r="N20" s="390"/>
      <c r="O20" s="391"/>
      <c r="P20" s="390"/>
      <c r="Q20" s="391"/>
      <c r="R20" s="327"/>
      <c r="S20" s="679"/>
      <c r="T20" s="678"/>
    </row>
    <row r="21" spans="1:22" ht="18" customHeight="1" x14ac:dyDescent="0.15">
      <c r="A21" s="682"/>
      <c r="B21" s="682"/>
      <c r="C21" s="685" t="s">
        <v>1063</v>
      </c>
      <c r="D21" s="684"/>
      <c r="E21" s="683"/>
      <c r="F21" s="678"/>
      <c r="G21" s="682"/>
      <c r="H21" s="681"/>
      <c r="I21" s="680"/>
      <c r="J21" s="390">
        <f>SUMIF($V:$V,"합계",J:J)</f>
        <v>59012815</v>
      </c>
      <c r="K21" s="391"/>
      <c r="L21" s="390">
        <f>SUMIF($V:$V,"합계",L:L)</f>
        <v>20143789</v>
      </c>
      <c r="M21" s="391"/>
      <c r="N21" s="390">
        <f>SUMIF($V:$V,"합계",N:N)</f>
        <v>6604</v>
      </c>
      <c r="O21" s="391"/>
      <c r="P21" s="390">
        <f>SUMIF($V:$V,"합계",P:P)</f>
        <v>79163208</v>
      </c>
      <c r="Q21" s="391"/>
      <c r="R21" s="327"/>
      <c r="S21" s="679"/>
      <c r="T21" s="678"/>
      <c r="V21" s="674" t="s">
        <v>1106</v>
      </c>
    </row>
    <row r="22" spans="1:22" ht="18" customHeight="1" x14ac:dyDescent="0.15">
      <c r="A22" s="787" t="s">
        <v>1191</v>
      </c>
      <c r="B22" s="787"/>
      <c r="C22" s="788"/>
      <c r="D22" s="686" t="s">
        <v>1192</v>
      </c>
      <c r="E22" s="683"/>
      <c r="F22" s="678"/>
      <c r="G22" s="787"/>
      <c r="H22" s="790"/>
      <c r="I22" s="680"/>
      <c r="J22" s="390">
        <f>내역!K49</f>
        <v>707083</v>
      </c>
      <c r="K22" s="391"/>
      <c r="L22" s="390">
        <f>내역!M49</f>
        <v>0</v>
      </c>
      <c r="M22" s="391"/>
      <c r="N22" s="390">
        <f>내역!O49</f>
        <v>0</v>
      </c>
      <c r="O22" s="391"/>
      <c r="P22" s="390">
        <f>SUM(J22,L22,N22)</f>
        <v>707083</v>
      </c>
      <c r="Q22" s="391"/>
      <c r="R22" s="363"/>
      <c r="S22" s="679"/>
      <c r="T22" s="678"/>
    </row>
    <row r="23" spans="1:22" ht="21" customHeight="1" x14ac:dyDescent="0.15">
      <c r="A23" s="677" t="str">
        <f>"주) 금액 : "&amp;내역!A1&amp;내역!A2&amp;" 참조"</f>
        <v>주) 금액 : &lt; 표 : 2 &gt; 내역산출표 참조</v>
      </c>
      <c r="B23" s="675"/>
      <c r="C23" s="675"/>
      <c r="D23" s="675"/>
      <c r="E23" s="675"/>
      <c r="F23" s="675"/>
      <c r="G23" s="675"/>
      <c r="H23" s="675"/>
      <c r="I23" s="675"/>
      <c r="J23" s="676"/>
      <c r="K23" s="676"/>
      <c r="L23" s="676"/>
      <c r="M23" s="676"/>
      <c r="N23" s="676"/>
      <c r="O23" s="676"/>
      <c r="P23" s="676"/>
      <c r="Q23" s="676"/>
      <c r="R23" s="675"/>
      <c r="S23" s="675"/>
      <c r="T23" s="675"/>
    </row>
    <row r="25" spans="1:22" x14ac:dyDescent="0.15">
      <c r="P25" s="843">
        <f>P22+P21</f>
        <v>79870291</v>
      </c>
    </row>
    <row r="26" spans="1:22" x14ac:dyDescent="0.15">
      <c r="P26" s="843">
        <f>내역!U7</f>
        <v>63934520</v>
      </c>
    </row>
    <row r="27" spans="1:22" x14ac:dyDescent="0.15">
      <c r="P27" s="843">
        <f>P26-P25</f>
        <v>-15935771</v>
      </c>
    </row>
  </sheetData>
  <mergeCells count="8">
    <mergeCell ref="P5:Q5"/>
    <mergeCell ref="R5:T5"/>
    <mergeCell ref="A5:B5"/>
    <mergeCell ref="C5:D5"/>
    <mergeCell ref="E5:F5"/>
    <mergeCell ref="J5:K5"/>
    <mergeCell ref="L5:M5"/>
    <mergeCell ref="N5:O5"/>
  </mergeCells>
  <phoneticPr fontId="1" type="noConversion"/>
  <printOptions horizontalCentered="1"/>
  <pageMargins left="0.39370078740157483" right="0.39370078740157483" top="0.70866141732283472" bottom="0.51181102362204722" header="0.51181102362204722" footer="0.5118110236220472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42"/>
  <sheetViews>
    <sheetView workbookViewId="0"/>
  </sheetViews>
  <sheetFormatPr defaultRowHeight="12" x14ac:dyDescent="0.15"/>
  <cols>
    <col min="1" max="1" width="2.28515625" style="3" customWidth="1"/>
    <col min="2" max="2" width="19.28515625" style="3" customWidth="1"/>
    <col min="3" max="3" width="2.28515625" style="3" customWidth="1"/>
    <col min="4" max="5" width="14.42578125" style="3" customWidth="1"/>
    <col min="6" max="6" width="17.140625" style="3" customWidth="1"/>
    <col min="7" max="7" width="10" style="3" customWidth="1"/>
    <col min="8" max="8" width="14.28515625" style="3" customWidth="1"/>
    <col min="9" max="9" width="1.28515625" style="3" customWidth="1"/>
    <col min="10" max="16384" width="9.140625" style="3"/>
  </cols>
  <sheetData>
    <row r="1" spans="1:9" ht="20.100000000000001" customHeight="1" x14ac:dyDescent="0.15">
      <c r="A1" s="249" t="s">
        <v>427</v>
      </c>
    </row>
    <row r="2" spans="1:9" ht="39.950000000000003" customHeight="1" x14ac:dyDescent="0.15">
      <c r="A2" s="4" t="s">
        <v>168</v>
      </c>
      <c r="B2" s="4"/>
      <c r="C2" s="4"/>
      <c r="D2" s="4"/>
      <c r="E2" s="4"/>
      <c r="F2" s="4"/>
      <c r="G2" s="4"/>
      <c r="H2" s="4"/>
    </row>
    <row r="3" spans="1:9" ht="20.100000000000001" customHeight="1" x14ac:dyDescent="0.15">
      <c r="A3" s="4"/>
      <c r="B3" s="4"/>
      <c r="C3" s="4"/>
      <c r="D3" s="4"/>
      <c r="E3" s="4"/>
      <c r="F3" s="4"/>
      <c r="G3" s="4"/>
      <c r="H3" s="4"/>
    </row>
    <row r="4" spans="1:9" ht="20.100000000000001" customHeight="1" x14ac:dyDescent="0.15">
      <c r="I4" s="40" t="s">
        <v>89</v>
      </c>
    </row>
    <row r="5" spans="1:9" ht="24.95" customHeight="1" x14ac:dyDescent="0.15">
      <c r="A5" s="872" t="s">
        <v>87</v>
      </c>
      <c r="B5" s="870"/>
      <c r="C5" s="873"/>
      <c r="D5" s="942" t="s">
        <v>169</v>
      </c>
      <c r="E5" s="943"/>
      <c r="F5" s="944"/>
      <c r="G5" s="945" t="s">
        <v>172</v>
      </c>
      <c r="H5" s="872" t="s">
        <v>173</v>
      </c>
      <c r="I5" s="873"/>
    </row>
    <row r="6" spans="1:9" ht="24.95" customHeight="1" x14ac:dyDescent="0.15">
      <c r="A6" s="874"/>
      <c r="B6" s="875"/>
      <c r="C6" s="876"/>
      <c r="D6" s="52" t="s">
        <v>170</v>
      </c>
      <c r="E6" s="52" t="s">
        <v>171</v>
      </c>
      <c r="F6" s="291" t="s">
        <v>88</v>
      </c>
      <c r="G6" s="946"/>
      <c r="H6" s="874"/>
      <c r="I6" s="876"/>
    </row>
    <row r="7" spans="1:9" ht="69.95" customHeight="1" x14ac:dyDescent="0.15">
      <c r="A7" s="59"/>
      <c r="B7" s="198"/>
      <c r="C7" s="58"/>
      <c r="D7" s="61" t="s">
        <v>7</v>
      </c>
      <c r="E7" s="61" t="s">
        <v>13</v>
      </c>
      <c r="F7" s="319"/>
      <c r="G7" s="62" t="s">
        <v>175</v>
      </c>
      <c r="H7" s="59"/>
      <c r="I7" s="58"/>
    </row>
    <row r="8" spans="1:9" ht="69.95" customHeight="1" x14ac:dyDescent="0.15">
      <c r="A8" s="59"/>
      <c r="B8" s="60" t="s">
        <v>174</v>
      </c>
      <c r="C8" s="58"/>
      <c r="D8" s="320">
        <f>원가!E8</f>
        <v>59012815</v>
      </c>
      <c r="E8" s="321">
        <f>원가!E9</f>
        <v>20143789</v>
      </c>
      <c r="F8" s="320">
        <f>SUM(D8:E8)</f>
        <v>79156604</v>
      </c>
      <c r="G8" s="62">
        <f>안전비율!G14</f>
        <v>1.97</v>
      </c>
      <c r="H8" s="322">
        <f>TRUNC(F8*G8%)</f>
        <v>1559385</v>
      </c>
      <c r="I8" s="58"/>
    </row>
    <row r="9" spans="1:9" ht="69.95" customHeight="1" x14ac:dyDescent="0.15">
      <c r="A9" s="59"/>
      <c r="B9" s="198"/>
      <c r="C9" s="58"/>
      <c r="D9" s="319"/>
      <c r="E9" s="319"/>
      <c r="F9" s="319"/>
      <c r="G9" s="319"/>
      <c r="H9" s="59"/>
      <c r="I9" s="58"/>
    </row>
    <row r="10" spans="1:9" ht="45" customHeight="1" x14ac:dyDescent="0.15">
      <c r="A10" s="323"/>
      <c r="B10" s="324" t="s">
        <v>88</v>
      </c>
      <c r="C10" s="252"/>
      <c r="D10" s="325"/>
      <c r="E10" s="325"/>
      <c r="F10" s="326"/>
      <c r="G10" s="325"/>
      <c r="H10" s="327">
        <f>SUM(H8:H9)</f>
        <v>1559385</v>
      </c>
      <c r="I10" s="252"/>
    </row>
    <row r="11" spans="1:9" ht="20.100000000000001" customHeight="1" x14ac:dyDescent="0.15">
      <c r="A11" s="3" t="str">
        <f>"주 1) 재료비 : "&amp;원가!A1&amp;" 참조"</f>
        <v>주 1) 재료비 : 원가계산서 참조</v>
      </c>
    </row>
    <row r="12" spans="1:9" ht="20.100000000000001" customHeight="1" x14ac:dyDescent="0.15">
      <c r="A12" s="3" t="str">
        <f>"   2) 직접노무비 : "&amp;원가!A1&amp;" 참조"</f>
        <v xml:space="preserve">   2) 직접노무비 : 원가계산서 참조</v>
      </c>
    </row>
    <row r="13" spans="1:9" ht="20.100000000000001" customHeight="1" x14ac:dyDescent="0.15">
      <c r="A13" s="3" t="str">
        <f>"   3) 비율(%) : "&amp;안전비율!A1&amp;안전비율!A2&amp;" 참조"</f>
        <v xml:space="preserve">   3) 비율(%) : &lt; 표 : 19 &gt; 산업안전보건관리비요율표 참조</v>
      </c>
    </row>
    <row r="14" spans="1:9" ht="20.100000000000001" customHeight="1" x14ac:dyDescent="0.15"/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4">
    <mergeCell ref="A5:C6"/>
    <mergeCell ref="D5:F5"/>
    <mergeCell ref="G5:G6"/>
    <mergeCell ref="H5:I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26"/>
  <sheetViews>
    <sheetView workbookViewId="0"/>
  </sheetViews>
  <sheetFormatPr defaultRowHeight="12" x14ac:dyDescent="0.15"/>
  <cols>
    <col min="1" max="1" width="2.7109375" style="3" customWidth="1"/>
    <col min="2" max="2" width="27.42578125" style="3" customWidth="1"/>
    <col min="3" max="3" width="2.7109375" style="3" customWidth="1"/>
    <col min="4" max="4" width="13.140625" style="200" customWidth="1"/>
    <col min="5" max="6" width="12.7109375" style="3" customWidth="1"/>
    <col min="7" max="7" width="13" style="3" customWidth="1"/>
    <col min="8" max="8" width="1.42578125" style="3" customWidth="1"/>
    <col min="9" max="9" width="7.85546875" style="3" customWidth="1"/>
    <col min="10" max="10" width="1.7109375" style="3" customWidth="1"/>
    <col min="11" max="11" width="9.140625" style="3"/>
    <col min="12" max="12" width="15.42578125" style="3" bestFit="1" customWidth="1"/>
    <col min="13" max="14" width="8.42578125" style="3" bestFit="1" customWidth="1"/>
    <col min="15" max="16" width="9.7109375" style="3" bestFit="1" customWidth="1"/>
    <col min="17" max="16384" width="9.140625" style="3"/>
  </cols>
  <sheetData>
    <row r="1" spans="1:19" ht="20.100000000000001" customHeight="1" x14ac:dyDescent="0.15">
      <c r="A1" s="3" t="s">
        <v>428</v>
      </c>
    </row>
    <row r="2" spans="1:19" ht="39.950000000000003" customHeight="1" x14ac:dyDescent="0.15">
      <c r="A2" s="4" t="s">
        <v>176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0.100000000000001" customHeight="1" x14ac:dyDescent="0.15">
      <c r="K4" s="2"/>
      <c r="L4" s="2"/>
      <c r="M4" s="2"/>
      <c r="N4" s="2"/>
      <c r="O4" s="2"/>
      <c r="P4" s="2"/>
      <c r="Q4" s="2"/>
      <c r="R4" s="2"/>
      <c r="S4" s="2"/>
    </row>
    <row r="5" spans="1:19" ht="39.950000000000003" customHeight="1" x14ac:dyDescent="0.15">
      <c r="A5" s="951" t="s">
        <v>178</v>
      </c>
      <c r="B5" s="892"/>
      <c r="C5" s="952"/>
      <c r="D5" s="948" t="s">
        <v>179</v>
      </c>
      <c r="E5" s="289" t="s">
        <v>180</v>
      </c>
      <c r="F5" s="290"/>
      <c r="G5" s="950" t="s">
        <v>182</v>
      </c>
      <c r="H5" s="872" t="s">
        <v>643</v>
      </c>
      <c r="I5" s="870"/>
      <c r="J5" s="873"/>
      <c r="K5" s="2"/>
      <c r="L5" s="2"/>
      <c r="M5" s="2"/>
      <c r="N5" s="2"/>
      <c r="O5" s="2"/>
      <c r="P5" s="2"/>
      <c r="Q5" s="2"/>
      <c r="R5" s="2"/>
      <c r="S5" s="2"/>
    </row>
    <row r="6" spans="1:19" ht="39.950000000000003" customHeight="1" x14ac:dyDescent="0.15">
      <c r="A6" s="881" t="s">
        <v>177</v>
      </c>
      <c r="B6" s="882"/>
      <c r="C6" s="953"/>
      <c r="D6" s="949"/>
      <c r="E6" s="291" t="s">
        <v>172</v>
      </c>
      <c r="F6" s="292" t="s">
        <v>181</v>
      </c>
      <c r="G6" s="950"/>
      <c r="H6" s="874"/>
      <c r="I6" s="875"/>
      <c r="J6" s="876"/>
      <c r="K6" s="2"/>
      <c r="L6" s="2"/>
      <c r="M6" s="2"/>
      <c r="N6" s="2"/>
      <c r="O6" s="2"/>
      <c r="P6" s="2"/>
      <c r="Q6" s="2"/>
      <c r="R6" s="2"/>
      <c r="S6" s="2"/>
    </row>
    <row r="7" spans="1:19" ht="45" customHeight="1" x14ac:dyDescent="0.15">
      <c r="A7" s="954"/>
      <c r="B7" s="54" t="s">
        <v>183</v>
      </c>
      <c r="C7" s="266"/>
      <c r="D7" s="293">
        <v>2.93</v>
      </c>
      <c r="E7" s="294">
        <v>1.86</v>
      </c>
      <c r="F7" s="221" t="s">
        <v>184</v>
      </c>
      <c r="G7" s="45">
        <v>1.97</v>
      </c>
      <c r="H7" s="295"/>
      <c r="I7" s="296"/>
      <c r="J7" s="55"/>
      <c r="K7" s="2"/>
      <c r="L7" s="2"/>
      <c r="M7" s="2"/>
      <c r="N7" s="2"/>
      <c r="O7" s="2"/>
      <c r="P7" s="2"/>
      <c r="Q7" s="2"/>
      <c r="R7" s="2"/>
      <c r="S7" s="2"/>
    </row>
    <row r="8" spans="1:19" ht="45" customHeight="1" x14ac:dyDescent="0.15">
      <c r="A8" s="947"/>
      <c r="B8" s="60" t="s">
        <v>185</v>
      </c>
      <c r="C8" s="271"/>
      <c r="D8" s="297">
        <v>3.09</v>
      </c>
      <c r="E8" s="298">
        <v>1.99</v>
      </c>
      <c r="F8" s="299" t="s">
        <v>190</v>
      </c>
      <c r="G8" s="46">
        <v>2.1</v>
      </c>
      <c r="H8" s="300"/>
      <c r="I8" s="301"/>
      <c r="J8" s="58"/>
      <c r="K8" s="2"/>
      <c r="L8" s="2"/>
      <c r="M8" s="2"/>
      <c r="N8" s="2"/>
      <c r="O8" s="2"/>
      <c r="P8" s="2"/>
      <c r="Q8" s="2"/>
      <c r="R8" s="2"/>
      <c r="S8" s="2"/>
    </row>
    <row r="9" spans="1:19" ht="45" customHeight="1" x14ac:dyDescent="0.15">
      <c r="A9" s="947"/>
      <c r="B9" s="60" t="s">
        <v>186</v>
      </c>
      <c r="C9" s="271"/>
      <c r="D9" s="297">
        <v>3.43</v>
      </c>
      <c r="E9" s="298">
        <v>2.35</v>
      </c>
      <c r="F9" s="302" t="s">
        <v>235</v>
      </c>
      <c r="G9" s="46">
        <v>2.44</v>
      </c>
      <c r="H9" s="300"/>
      <c r="I9" s="301"/>
      <c r="J9" s="58"/>
      <c r="K9" s="2"/>
      <c r="L9" s="2"/>
      <c r="M9" s="2"/>
      <c r="N9" s="2"/>
      <c r="O9" s="2"/>
      <c r="P9" s="2"/>
      <c r="Q9" s="2"/>
      <c r="R9" s="2"/>
      <c r="S9" s="2"/>
    </row>
    <row r="10" spans="1:19" ht="45" customHeight="1" x14ac:dyDescent="0.15">
      <c r="A10" s="947"/>
      <c r="B10" s="60" t="s">
        <v>187</v>
      </c>
      <c r="C10" s="271"/>
      <c r="D10" s="297">
        <v>2.4500000000000002</v>
      </c>
      <c r="E10" s="298">
        <v>1.57</v>
      </c>
      <c r="F10" s="299" t="s">
        <v>191</v>
      </c>
      <c r="G10" s="46">
        <v>1.66</v>
      </c>
      <c r="H10" s="300"/>
      <c r="I10" s="301"/>
      <c r="J10" s="58"/>
      <c r="K10" s="2"/>
      <c r="L10" s="2"/>
      <c r="M10" s="2"/>
      <c r="N10" s="2"/>
      <c r="O10" s="2"/>
      <c r="P10" s="2"/>
      <c r="Q10" s="2"/>
      <c r="R10" s="2"/>
      <c r="S10" s="2"/>
    </row>
    <row r="11" spans="1:19" ht="45" customHeight="1" x14ac:dyDescent="0.15">
      <c r="A11" s="947"/>
      <c r="B11" s="60" t="s">
        <v>188</v>
      </c>
      <c r="C11" s="271"/>
      <c r="D11" s="303">
        <v>1.85</v>
      </c>
      <c r="E11" s="304">
        <v>1.2</v>
      </c>
      <c r="F11" s="305" t="s">
        <v>192</v>
      </c>
      <c r="G11" s="47">
        <v>1.27</v>
      </c>
      <c r="H11" s="306"/>
      <c r="I11" s="307"/>
      <c r="J11" s="65"/>
      <c r="K11" s="2"/>
      <c r="L11" s="2"/>
      <c r="M11" s="2"/>
      <c r="N11" s="2"/>
      <c r="O11" s="2"/>
      <c r="P11" s="2"/>
      <c r="Q11" s="2"/>
      <c r="R11" s="2"/>
      <c r="S11" s="2"/>
    </row>
    <row r="12" spans="1:19" ht="45" customHeight="1" x14ac:dyDescent="0.15">
      <c r="A12" s="278"/>
      <c r="B12" s="279" t="s">
        <v>39</v>
      </c>
      <c r="C12" s="280"/>
      <c r="D12" s="308"/>
      <c r="E12" s="294"/>
      <c r="F12" s="221"/>
      <c r="G12" s="309">
        <v>1.97</v>
      </c>
      <c r="H12" s="310"/>
      <c r="I12" s="311"/>
      <c r="J12" s="252"/>
      <c r="K12" s="2"/>
      <c r="L12" s="2"/>
      <c r="M12" s="2"/>
      <c r="N12" s="2"/>
      <c r="O12" s="2"/>
      <c r="P12" s="2"/>
      <c r="Q12" s="2"/>
      <c r="R12" s="2"/>
      <c r="S12" s="2"/>
    </row>
    <row r="13" spans="1:19" ht="45" customHeight="1" x14ac:dyDescent="0.15">
      <c r="A13" s="258"/>
      <c r="B13" s="123" t="s">
        <v>429</v>
      </c>
      <c r="C13" s="260"/>
      <c r="D13" s="308"/>
      <c r="E13" s="312"/>
      <c r="F13" s="313"/>
      <c r="G13" s="309">
        <v>1.97</v>
      </c>
      <c r="H13" s="310"/>
      <c r="I13" s="311"/>
      <c r="J13" s="252"/>
    </row>
    <row r="14" spans="1:19" ht="45" customHeight="1" x14ac:dyDescent="0.15">
      <c r="A14" s="258"/>
      <c r="B14" s="263" t="s">
        <v>189</v>
      </c>
      <c r="C14" s="260"/>
      <c r="D14" s="308"/>
      <c r="E14" s="312"/>
      <c r="F14" s="313"/>
      <c r="G14" s="309">
        <v>1.97</v>
      </c>
      <c r="H14" s="314"/>
      <c r="I14" s="315"/>
      <c r="J14" s="252"/>
    </row>
    <row r="15" spans="1:19" ht="24.95" customHeight="1" x14ac:dyDescent="0.15">
      <c r="A15" s="3" t="s">
        <v>214</v>
      </c>
      <c r="B15" s="288"/>
    </row>
    <row r="16" spans="1:19" ht="24.95" customHeight="1" x14ac:dyDescent="0.15">
      <c r="A16" s="3" t="s">
        <v>236</v>
      </c>
      <c r="B16" s="288"/>
    </row>
    <row r="26" spans="1:19" s="199" customFormat="1" ht="45" customHeight="1" x14ac:dyDescent="0.15">
      <c r="A26" s="278"/>
      <c r="B26" s="279" t="s">
        <v>512</v>
      </c>
      <c r="C26" s="280"/>
      <c r="D26" s="308"/>
      <c r="E26" s="312"/>
      <c r="F26" s="313"/>
      <c r="G26" s="309">
        <v>1.97</v>
      </c>
      <c r="H26" s="316"/>
      <c r="I26" s="317"/>
      <c r="J26" s="318"/>
      <c r="K26" s="122"/>
      <c r="L26" s="122"/>
      <c r="M26" s="122"/>
      <c r="N26" s="122"/>
      <c r="O26" s="122"/>
      <c r="P26" s="122"/>
      <c r="Q26" s="122"/>
      <c r="R26" s="122"/>
      <c r="S26" s="122"/>
    </row>
  </sheetData>
  <mergeCells count="7">
    <mergeCell ref="H5:J6"/>
    <mergeCell ref="A10:A11"/>
    <mergeCell ref="D5:D6"/>
    <mergeCell ref="G5:G6"/>
    <mergeCell ref="A5:C5"/>
    <mergeCell ref="A6:C6"/>
    <mergeCell ref="A7:A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42"/>
  <sheetViews>
    <sheetView workbookViewId="0"/>
  </sheetViews>
  <sheetFormatPr defaultRowHeight="12" x14ac:dyDescent="0.15"/>
  <cols>
    <col min="1" max="1" width="2.28515625" style="3" customWidth="1"/>
    <col min="2" max="2" width="15" style="3" customWidth="1"/>
    <col min="3" max="3" width="2.28515625" style="3" customWidth="1"/>
    <col min="4" max="7" width="13" style="3" customWidth="1"/>
    <col min="8" max="8" width="9.7109375" style="3" customWidth="1"/>
    <col min="9" max="9" width="13.42578125" style="3" customWidth="1"/>
    <col min="10" max="10" width="0.7109375" style="3" customWidth="1"/>
    <col min="11" max="16384" width="9.140625" style="3"/>
  </cols>
  <sheetData>
    <row r="1" spans="1:10" ht="20.100000000000001" customHeight="1" x14ac:dyDescent="0.15">
      <c r="A1" s="249" t="s">
        <v>507</v>
      </c>
    </row>
    <row r="2" spans="1:10" ht="39.950000000000003" customHeight="1" x14ac:dyDescent="0.15">
      <c r="A2" s="4" t="s">
        <v>193</v>
      </c>
      <c r="B2" s="4"/>
      <c r="C2" s="4"/>
      <c r="D2" s="4"/>
      <c r="E2" s="4"/>
      <c r="F2" s="4"/>
      <c r="G2" s="4"/>
      <c r="H2" s="4"/>
      <c r="I2" s="4"/>
    </row>
    <row r="3" spans="1:10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10" ht="20.100000000000001" customHeight="1" x14ac:dyDescent="0.15">
      <c r="J4" s="40" t="s">
        <v>89</v>
      </c>
    </row>
    <row r="5" spans="1:10" ht="24.95" customHeight="1" x14ac:dyDescent="0.15">
      <c r="A5" s="69"/>
      <c r="B5" s="959" t="s">
        <v>87</v>
      </c>
      <c r="C5" s="30"/>
      <c r="D5" s="27" t="s">
        <v>213</v>
      </c>
      <c r="E5" s="28"/>
      <c r="F5" s="28"/>
      <c r="G5" s="29"/>
      <c r="H5" s="955" t="s">
        <v>172</v>
      </c>
      <c r="I5" s="957" t="s">
        <v>173</v>
      </c>
      <c r="J5" s="55"/>
    </row>
    <row r="6" spans="1:10" ht="24.95" customHeight="1" x14ac:dyDescent="0.15">
      <c r="A6" s="31"/>
      <c r="B6" s="960"/>
      <c r="C6" s="32"/>
      <c r="D6" s="26" t="s">
        <v>2</v>
      </c>
      <c r="E6" s="26" t="s">
        <v>171</v>
      </c>
      <c r="F6" s="26" t="s">
        <v>194</v>
      </c>
      <c r="G6" s="48" t="s">
        <v>88</v>
      </c>
      <c r="H6" s="956"/>
      <c r="I6" s="958"/>
      <c r="J6" s="65"/>
    </row>
    <row r="7" spans="1:10" ht="69.95" customHeight="1" x14ac:dyDescent="0.15">
      <c r="A7" s="7"/>
      <c r="B7" s="8"/>
      <c r="C7" s="9"/>
      <c r="D7" s="10" t="s">
        <v>7</v>
      </c>
      <c r="E7" s="10" t="s">
        <v>13</v>
      </c>
      <c r="F7" s="10" t="s">
        <v>175</v>
      </c>
      <c r="G7" s="11"/>
      <c r="H7" s="12" t="s">
        <v>195</v>
      </c>
      <c r="I7" s="7"/>
      <c r="J7" s="58"/>
    </row>
    <row r="8" spans="1:10" ht="69.95" customHeight="1" x14ac:dyDescent="0.15">
      <c r="A8" s="7"/>
      <c r="B8" s="218" t="s">
        <v>22</v>
      </c>
      <c r="C8" s="9"/>
      <c r="D8" s="41" t="e">
        <f>#REF!</f>
        <v>#REF!</v>
      </c>
      <c r="E8" s="42" t="e">
        <f>#REF!</f>
        <v>#REF!</v>
      </c>
      <c r="F8" s="42" t="e">
        <f>#REF!</f>
        <v>#REF!</v>
      </c>
      <c r="G8" s="41" t="e">
        <f>SUM(D8:F8)</f>
        <v>#REF!</v>
      </c>
      <c r="H8" s="44">
        <v>0.5</v>
      </c>
      <c r="I8" s="43" t="e">
        <f>TRUNC(G8*H8%)</f>
        <v>#REF!</v>
      </c>
      <c r="J8" s="58"/>
    </row>
    <row r="9" spans="1:10" ht="69.95" customHeight="1" x14ac:dyDescent="0.15">
      <c r="A9" s="15"/>
      <c r="B9" s="16"/>
      <c r="C9" s="17"/>
      <c r="D9" s="18"/>
      <c r="E9" s="18"/>
      <c r="F9" s="18"/>
      <c r="G9" s="18"/>
      <c r="H9" s="18"/>
      <c r="I9" s="7"/>
      <c r="J9" s="58"/>
    </row>
    <row r="10" spans="1:10" ht="45" customHeight="1" x14ac:dyDescent="0.15">
      <c r="A10" s="19"/>
      <c r="B10" s="20" t="s">
        <v>88</v>
      </c>
      <c r="C10" s="21"/>
      <c r="D10" s="22"/>
      <c r="E10" s="22"/>
      <c r="F10" s="22"/>
      <c r="G10" s="23"/>
      <c r="H10" s="22"/>
      <c r="I10" s="38" t="e">
        <f>SUM(I8:I9)</f>
        <v>#REF!</v>
      </c>
      <c r="J10" s="252"/>
    </row>
    <row r="11" spans="1:10" ht="20.100000000000001" customHeight="1" x14ac:dyDescent="0.15">
      <c r="A11" s="3" t="e">
        <f>"주 1) 직접재료비 : "&amp;#REF!&amp;#REF!&amp;" 참조"</f>
        <v>#REF!</v>
      </c>
    </row>
    <row r="12" spans="1:10" ht="20.100000000000001" customHeight="1" x14ac:dyDescent="0.15">
      <c r="A12" s="3" t="e">
        <f>"   2) 직접노무비 : "&amp;#REF!&amp;#REF!&amp;" 참조"</f>
        <v>#REF!</v>
      </c>
    </row>
    <row r="13" spans="1:10" ht="20.100000000000001" customHeight="1" x14ac:dyDescent="0.15">
      <c r="A13" s="3" t="e">
        <f>"   3) 기계경비 : "&amp;#REF!&amp;#REF!&amp;" 참조"</f>
        <v>#REF!</v>
      </c>
    </row>
    <row r="14" spans="1:10" ht="20.100000000000001" customHeight="1" x14ac:dyDescent="0.15">
      <c r="A14" s="3" t="s">
        <v>516</v>
      </c>
    </row>
    <row r="15" spans="1:10" ht="20.100000000000001" customHeight="1" x14ac:dyDescent="0.15"/>
    <row r="16" spans="1:10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3">
    <mergeCell ref="H5:H6"/>
    <mergeCell ref="I5:I6"/>
    <mergeCell ref="B5:B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42"/>
  <sheetViews>
    <sheetView workbookViewId="0"/>
  </sheetViews>
  <sheetFormatPr defaultRowHeight="12" x14ac:dyDescent="0.15"/>
  <cols>
    <col min="1" max="1" width="2.28515625" style="3" customWidth="1"/>
    <col min="2" max="2" width="16.28515625" style="3" customWidth="1"/>
    <col min="3" max="3" width="2.28515625" style="3" customWidth="1"/>
    <col min="4" max="7" width="13.28515625" style="3" customWidth="1"/>
    <col min="8" max="8" width="7.7109375" style="3" customWidth="1"/>
    <col min="9" max="9" width="12.7109375" style="3" customWidth="1"/>
    <col min="10" max="10" width="1" style="3" customWidth="1"/>
    <col min="11" max="16384" width="9.140625" style="3"/>
  </cols>
  <sheetData>
    <row r="1" spans="1:10" ht="20.100000000000001" customHeight="1" x14ac:dyDescent="0.15">
      <c r="A1" s="249" t="s">
        <v>508</v>
      </c>
    </row>
    <row r="2" spans="1:10" ht="39.950000000000003" customHeight="1" x14ac:dyDescent="0.15">
      <c r="A2" s="4" t="s">
        <v>196</v>
      </c>
      <c r="B2" s="4"/>
      <c r="C2" s="4"/>
      <c r="D2" s="4"/>
      <c r="E2" s="4"/>
      <c r="F2" s="4"/>
      <c r="G2" s="4"/>
      <c r="H2" s="4"/>
      <c r="I2" s="4"/>
    </row>
    <row r="3" spans="1:10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10" ht="20.100000000000001" customHeight="1" x14ac:dyDescent="0.15">
      <c r="J4" s="40" t="s">
        <v>89</v>
      </c>
    </row>
    <row r="5" spans="1:10" ht="24.95" customHeight="1" x14ac:dyDescent="0.15">
      <c r="A5" s="69"/>
      <c r="B5" s="959" t="s">
        <v>87</v>
      </c>
      <c r="C5" s="30"/>
      <c r="D5" s="27" t="s">
        <v>213</v>
      </c>
      <c r="E5" s="28"/>
      <c r="F5" s="28"/>
      <c r="G5" s="29"/>
      <c r="H5" s="955" t="s">
        <v>172</v>
      </c>
      <c r="I5" s="957" t="s">
        <v>173</v>
      </c>
      <c r="J5" s="55"/>
    </row>
    <row r="6" spans="1:10" ht="24.95" customHeight="1" x14ac:dyDescent="0.15">
      <c r="A6" s="31"/>
      <c r="B6" s="960"/>
      <c r="C6" s="32"/>
      <c r="D6" s="26" t="s">
        <v>170</v>
      </c>
      <c r="E6" s="26" t="s">
        <v>0</v>
      </c>
      <c r="F6" s="26" t="s">
        <v>197</v>
      </c>
      <c r="G6" s="48" t="s">
        <v>88</v>
      </c>
      <c r="H6" s="956"/>
      <c r="I6" s="958"/>
      <c r="J6" s="65"/>
    </row>
    <row r="7" spans="1:10" ht="69.95" customHeight="1" x14ac:dyDescent="0.15">
      <c r="A7" s="7"/>
      <c r="B7" s="8"/>
      <c r="C7" s="9"/>
      <c r="D7" s="10" t="s">
        <v>7</v>
      </c>
      <c r="E7" s="10" t="s">
        <v>13</v>
      </c>
      <c r="F7" s="10" t="s">
        <v>175</v>
      </c>
      <c r="G7" s="11"/>
      <c r="H7" s="12" t="s">
        <v>195</v>
      </c>
      <c r="I7" s="7"/>
      <c r="J7" s="58"/>
    </row>
    <row r="8" spans="1:10" ht="69.95" customHeight="1" x14ac:dyDescent="0.15">
      <c r="A8" s="7"/>
      <c r="B8" s="218" t="s">
        <v>198</v>
      </c>
      <c r="C8" s="9"/>
      <c r="D8" s="13">
        <f>원가!E8</f>
        <v>59012815</v>
      </c>
      <c r="E8" s="14">
        <f>원가!E11</f>
        <v>21150978</v>
      </c>
      <c r="F8" s="14" t="e">
        <f>경비!F18</f>
        <v>#REF!</v>
      </c>
      <c r="G8" s="115" t="e">
        <f>SUM(D8:F8)</f>
        <v>#REF!</v>
      </c>
      <c r="H8" s="24">
        <f>일반율!D12</f>
        <v>5.5</v>
      </c>
      <c r="I8" s="39" t="e">
        <f>TRUNC(G8*H8%)</f>
        <v>#REF!</v>
      </c>
      <c r="J8" s="58"/>
    </row>
    <row r="9" spans="1:10" ht="69.95" customHeight="1" x14ac:dyDescent="0.15">
      <c r="A9" s="15"/>
      <c r="B9" s="16"/>
      <c r="C9" s="17"/>
      <c r="D9" s="18"/>
      <c r="E9" s="18"/>
      <c r="F9" s="18"/>
      <c r="G9" s="18"/>
      <c r="H9" s="18"/>
      <c r="I9" s="15"/>
      <c r="J9" s="58"/>
    </row>
    <row r="10" spans="1:10" ht="45" customHeight="1" x14ac:dyDescent="0.15">
      <c r="A10" s="19"/>
      <c r="B10" s="20" t="s">
        <v>88</v>
      </c>
      <c r="C10" s="21"/>
      <c r="D10" s="22"/>
      <c r="E10" s="22"/>
      <c r="F10" s="22"/>
      <c r="G10" s="23"/>
      <c r="H10" s="22"/>
      <c r="I10" s="38" t="e">
        <f>SUM(I8:I9)</f>
        <v>#REF!</v>
      </c>
      <c r="J10" s="252"/>
    </row>
    <row r="11" spans="1:10" ht="20.100000000000001" customHeight="1" x14ac:dyDescent="0.15">
      <c r="A11" s="3" t="str">
        <f>" 주 1) 재료비 : "&amp;원가!A1&amp;" 참조"</f>
        <v xml:space="preserve"> 주 1) 재료비 : 원가계산서 참조</v>
      </c>
    </row>
    <row r="12" spans="1:10" ht="20.100000000000001" customHeight="1" x14ac:dyDescent="0.15">
      <c r="A12" s="3" t="str">
        <f>"    2) 노무비 : "&amp;원가!A1&amp;" 참조"</f>
        <v xml:space="preserve">    2) 노무비 : 원가계산서 참조</v>
      </c>
    </row>
    <row r="13" spans="1:10" ht="20.100000000000001" customHeight="1" x14ac:dyDescent="0.15">
      <c r="A13" s="3" t="str">
        <f>"    3) 경비 : "&amp;경비!A1&amp;경비!A2&amp;" 참조"</f>
        <v xml:space="preserve">    3) 경비 : &lt; 표 : 8 &gt; 경비산출표 참조</v>
      </c>
    </row>
    <row r="14" spans="1:10" ht="20.100000000000001" customHeight="1" x14ac:dyDescent="0.15">
      <c r="A14" s="3" t="str">
        <f>"    4) 비율(%) : "&amp;일반율!A1&amp;일반율!A2&amp;" 참조"</f>
        <v xml:space="preserve">    4) 비율(%) : &lt; 표 : 22 &gt; 일반관리비율표 참조</v>
      </c>
    </row>
    <row r="15" spans="1:10" ht="20.100000000000001" customHeight="1" x14ac:dyDescent="0.15"/>
    <row r="16" spans="1:10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3">
    <mergeCell ref="H5:H6"/>
    <mergeCell ref="I5:I6"/>
    <mergeCell ref="B5:B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14"/>
  <sheetViews>
    <sheetView workbookViewId="0"/>
  </sheetViews>
  <sheetFormatPr defaultRowHeight="12" x14ac:dyDescent="0.15"/>
  <cols>
    <col min="1" max="1" width="2.7109375" style="3" customWidth="1"/>
    <col min="2" max="2" width="25.7109375" style="3" customWidth="1"/>
    <col min="3" max="3" width="2.7109375" style="3" customWidth="1"/>
    <col min="4" max="4" width="16.5703125" style="200" customWidth="1"/>
    <col min="5" max="5" width="2.7109375" style="3" customWidth="1"/>
    <col min="6" max="6" width="25.7109375" style="3" customWidth="1"/>
    <col min="7" max="7" width="2.7109375" style="3" customWidth="1"/>
    <col min="8" max="8" width="16.5703125" style="3" customWidth="1"/>
    <col min="9" max="16384" width="9.140625" style="3"/>
  </cols>
  <sheetData>
    <row r="1" spans="1:12" ht="20.100000000000001" customHeight="1" x14ac:dyDescent="0.15">
      <c r="A1" s="3" t="s">
        <v>509</v>
      </c>
    </row>
    <row r="2" spans="1:12" ht="39.950000000000003" customHeight="1" x14ac:dyDescent="0.15">
      <c r="A2" s="4" t="s">
        <v>199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</row>
    <row r="3" spans="1:12" ht="20.100000000000001" customHeight="1" x14ac:dyDescent="0.15">
      <c r="A3" s="4"/>
      <c r="B3" s="4"/>
      <c r="C3" s="4"/>
      <c r="D3" s="4"/>
      <c r="E3" s="4"/>
      <c r="F3" s="4"/>
      <c r="G3" s="4"/>
      <c r="H3" s="4"/>
      <c r="I3" s="2"/>
      <c r="J3" s="2"/>
      <c r="K3" s="2"/>
      <c r="L3" s="2"/>
    </row>
    <row r="4" spans="1:12" ht="20.100000000000001" customHeight="1" x14ac:dyDescent="0.15"/>
    <row r="5" spans="1:12" ht="50.1" customHeight="1" x14ac:dyDescent="0.15">
      <c r="A5" s="253"/>
      <c r="B5" s="254" t="s">
        <v>202</v>
      </c>
      <c r="C5" s="254"/>
      <c r="D5" s="255"/>
      <c r="E5" s="256" t="s">
        <v>200</v>
      </c>
      <c r="F5" s="254"/>
      <c r="G5" s="254"/>
      <c r="H5" s="257"/>
    </row>
    <row r="6" spans="1:12" ht="50.1" customHeight="1" x14ac:dyDescent="0.15">
      <c r="A6" s="258"/>
      <c r="B6" s="259" t="s">
        <v>42</v>
      </c>
      <c r="C6" s="260"/>
      <c r="D6" s="261" t="s">
        <v>201</v>
      </c>
      <c r="E6" s="262"/>
      <c r="F6" s="263" t="s">
        <v>42</v>
      </c>
      <c r="G6" s="264"/>
      <c r="H6" s="265" t="s">
        <v>201</v>
      </c>
    </row>
    <row r="7" spans="1:12" ht="60" customHeight="1" x14ac:dyDescent="0.15">
      <c r="A7" s="954"/>
      <c r="B7" s="54" t="s">
        <v>203</v>
      </c>
      <c r="C7" s="266"/>
      <c r="D7" s="267">
        <v>6</v>
      </c>
      <c r="E7" s="268"/>
      <c r="F7" s="54" t="s">
        <v>206</v>
      </c>
      <c r="G7" s="269"/>
      <c r="H7" s="270">
        <v>6</v>
      </c>
    </row>
    <row r="8" spans="1:12" ht="60" customHeight="1" x14ac:dyDescent="0.15">
      <c r="A8" s="947"/>
      <c r="B8" s="60" t="s">
        <v>204</v>
      </c>
      <c r="C8" s="271"/>
      <c r="D8" s="272">
        <v>5.5</v>
      </c>
      <c r="E8" s="273"/>
      <c r="F8" s="60" t="s">
        <v>207</v>
      </c>
      <c r="G8" s="274"/>
      <c r="H8" s="275">
        <v>5.5</v>
      </c>
    </row>
    <row r="9" spans="1:12" ht="60" customHeight="1" x14ac:dyDescent="0.15">
      <c r="A9" s="947"/>
      <c r="B9" s="60" t="s">
        <v>205</v>
      </c>
      <c r="C9" s="271"/>
      <c r="D9" s="276">
        <v>5</v>
      </c>
      <c r="E9" s="273"/>
      <c r="F9" s="277" t="s">
        <v>208</v>
      </c>
      <c r="G9" s="274"/>
      <c r="H9" s="275">
        <v>5</v>
      </c>
    </row>
    <row r="10" spans="1:12" ht="50.1" customHeight="1" x14ac:dyDescent="0.15">
      <c r="A10" s="278"/>
      <c r="B10" s="279" t="s">
        <v>39</v>
      </c>
      <c r="C10" s="280"/>
      <c r="D10" s="272">
        <v>5.5</v>
      </c>
      <c r="E10" s="281"/>
      <c r="F10" s="282"/>
      <c r="G10" s="283"/>
      <c r="H10" s="284"/>
    </row>
    <row r="11" spans="1:12" ht="50.1" customHeight="1" x14ac:dyDescent="0.15">
      <c r="A11" s="258"/>
      <c r="B11" s="123" t="s">
        <v>429</v>
      </c>
      <c r="C11" s="260"/>
      <c r="D11" s="285">
        <v>5.5</v>
      </c>
      <c r="E11" s="281"/>
      <c r="F11" s="282"/>
      <c r="G11" s="283"/>
      <c r="H11" s="284"/>
    </row>
    <row r="12" spans="1:12" ht="50.1" customHeight="1" x14ac:dyDescent="0.15">
      <c r="A12" s="258"/>
      <c r="B12" s="263" t="s">
        <v>189</v>
      </c>
      <c r="C12" s="260"/>
      <c r="D12" s="93">
        <f>MIN(D10:D11)</f>
        <v>5.5</v>
      </c>
      <c r="E12" s="281"/>
      <c r="F12" s="282"/>
      <c r="G12" s="286"/>
      <c r="H12" s="287"/>
    </row>
    <row r="13" spans="1:12" ht="24.95" customHeight="1" x14ac:dyDescent="0.15">
      <c r="A13" s="250" t="s">
        <v>540</v>
      </c>
      <c r="B13" s="288"/>
    </row>
    <row r="14" spans="1:12" ht="24.95" customHeight="1" x14ac:dyDescent="0.15">
      <c r="B14" s="288"/>
    </row>
  </sheetData>
  <mergeCells count="1">
    <mergeCell ref="A7:A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2"/>
  <sheetViews>
    <sheetView workbookViewId="0"/>
  </sheetViews>
  <sheetFormatPr defaultRowHeight="12" x14ac:dyDescent="0.15"/>
  <cols>
    <col min="1" max="1" width="2.28515625" style="3" customWidth="1"/>
    <col min="2" max="2" width="10.85546875" style="3" customWidth="1"/>
    <col min="3" max="3" width="2.28515625" style="3" customWidth="1"/>
    <col min="4" max="7" width="13.7109375" style="3" customWidth="1"/>
    <col min="8" max="8" width="9" style="3" customWidth="1"/>
    <col min="9" max="9" width="14.42578125" style="3" customWidth="1"/>
    <col min="10" max="10" width="1.28515625" style="3" customWidth="1"/>
    <col min="11" max="16384" width="9.140625" style="3"/>
  </cols>
  <sheetData>
    <row r="1" spans="1:10" ht="20.100000000000001" customHeight="1" x14ac:dyDescent="0.15">
      <c r="A1" s="249" t="s">
        <v>510</v>
      </c>
    </row>
    <row r="2" spans="1:10" ht="39.950000000000003" customHeight="1" x14ac:dyDescent="0.15">
      <c r="A2" s="4" t="s">
        <v>210</v>
      </c>
      <c r="B2" s="4"/>
      <c r="C2" s="4"/>
      <c r="D2" s="4"/>
      <c r="E2" s="4"/>
      <c r="F2" s="4"/>
      <c r="G2" s="4"/>
      <c r="H2" s="4"/>
      <c r="I2" s="4"/>
    </row>
    <row r="3" spans="1:10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10" ht="20.100000000000001" customHeight="1" x14ac:dyDescent="0.15">
      <c r="I4" s="40"/>
      <c r="J4" s="40" t="s">
        <v>89</v>
      </c>
    </row>
    <row r="5" spans="1:10" ht="24.95" customHeight="1" x14ac:dyDescent="0.15">
      <c r="A5" s="251"/>
      <c r="B5" s="959" t="s">
        <v>87</v>
      </c>
      <c r="C5" s="33"/>
      <c r="D5" s="27" t="s">
        <v>213</v>
      </c>
      <c r="E5" s="28"/>
      <c r="F5" s="28"/>
      <c r="G5" s="29"/>
      <c r="H5" s="955" t="s">
        <v>172</v>
      </c>
      <c r="I5" s="957" t="s">
        <v>173</v>
      </c>
      <c r="J5" s="55"/>
    </row>
    <row r="6" spans="1:10" ht="24.95" customHeight="1" x14ac:dyDescent="0.15">
      <c r="A6" s="34"/>
      <c r="B6" s="960"/>
      <c r="C6" s="35"/>
      <c r="D6" s="26" t="s">
        <v>0</v>
      </c>
      <c r="E6" s="26" t="s">
        <v>197</v>
      </c>
      <c r="F6" s="26" t="s">
        <v>198</v>
      </c>
      <c r="G6" s="48" t="s">
        <v>88</v>
      </c>
      <c r="H6" s="956"/>
      <c r="I6" s="958"/>
      <c r="J6" s="65"/>
    </row>
    <row r="7" spans="1:10" ht="69.95" customHeight="1" x14ac:dyDescent="0.15">
      <c r="A7" s="7"/>
      <c r="B7" s="8"/>
      <c r="C7" s="9"/>
      <c r="D7" s="10" t="s">
        <v>7</v>
      </c>
      <c r="E7" s="10" t="s">
        <v>13</v>
      </c>
      <c r="F7" s="10" t="s">
        <v>175</v>
      </c>
      <c r="G7" s="11"/>
      <c r="H7" s="12" t="s">
        <v>195</v>
      </c>
      <c r="I7" s="7"/>
      <c r="J7" s="58"/>
    </row>
    <row r="8" spans="1:10" ht="69.95" customHeight="1" x14ac:dyDescent="0.15">
      <c r="A8" s="7"/>
      <c r="B8" s="218" t="s">
        <v>209</v>
      </c>
      <c r="C8" s="9"/>
      <c r="D8" s="13">
        <f>원가!E11</f>
        <v>21150978</v>
      </c>
      <c r="E8" s="14" t="e">
        <f>경비!F18</f>
        <v>#REF!</v>
      </c>
      <c r="F8" s="14" t="e">
        <f>일반!I10</f>
        <v>#REF!</v>
      </c>
      <c r="G8" s="13" t="e">
        <f>SUM(D8:F8)</f>
        <v>#REF!</v>
      </c>
      <c r="H8" s="25">
        <f>이윤율!F7</f>
        <v>12</v>
      </c>
      <c r="I8" s="39" t="e">
        <f>TRUNC(G8*H8%)</f>
        <v>#REF!</v>
      </c>
      <c r="J8" s="58"/>
    </row>
    <row r="9" spans="1:10" ht="69.95" customHeight="1" x14ac:dyDescent="0.15">
      <c r="A9" s="15"/>
      <c r="B9" s="16"/>
      <c r="C9" s="17"/>
      <c r="D9" s="18"/>
      <c r="E9" s="18"/>
      <c r="F9" s="18"/>
      <c r="G9" s="18"/>
      <c r="H9" s="18"/>
      <c r="I9" s="15"/>
      <c r="J9" s="65"/>
    </row>
    <row r="10" spans="1:10" ht="45" customHeight="1" x14ac:dyDescent="0.15">
      <c r="A10" s="19"/>
      <c r="B10" s="20" t="s">
        <v>88</v>
      </c>
      <c r="C10" s="21"/>
      <c r="D10" s="22"/>
      <c r="E10" s="22"/>
      <c r="F10" s="22"/>
      <c r="G10" s="23"/>
      <c r="H10" s="22"/>
      <c r="I10" s="38" t="e">
        <f>SUM(I8:I9)</f>
        <v>#REF!</v>
      </c>
      <c r="J10" s="252"/>
    </row>
    <row r="11" spans="1:10" ht="20.100000000000001" customHeight="1" x14ac:dyDescent="0.15">
      <c r="A11" s="3" t="str">
        <f>"주 1) 노무비 : "&amp;원가!A1&amp;" 참조"</f>
        <v>주 1) 노무비 : 원가계산서 참조</v>
      </c>
    </row>
    <row r="12" spans="1:10" ht="20.100000000000001" customHeight="1" x14ac:dyDescent="0.15">
      <c r="A12" s="3" t="str">
        <f>"   2) 경비 : "&amp;경비!A1&amp;경비!A2&amp;" 참조"</f>
        <v xml:space="preserve">   2) 경비 : &lt; 표 : 8 &gt; 경비산출표 참조</v>
      </c>
    </row>
    <row r="13" spans="1:10" ht="20.100000000000001" customHeight="1" x14ac:dyDescent="0.15">
      <c r="A13" s="3" t="str">
        <f>"   3) 일반관리비 : "&amp;일반율!A1&amp;일반율!A2&amp;" 참조"</f>
        <v xml:space="preserve">   3) 일반관리비 : &lt; 표 : 22 &gt; 일반관리비율표 참조</v>
      </c>
    </row>
    <row r="14" spans="1:10" ht="20.100000000000001" customHeight="1" x14ac:dyDescent="0.15">
      <c r="A14" s="3" t="str">
        <f>"   4) 비율(%) : "&amp;이윤율!A1&amp;이윤율!A2&amp;" 참조"</f>
        <v xml:space="preserve">   4) 비율(%) : &lt; 표 : 24 &gt; 이윤비율표 참조</v>
      </c>
    </row>
    <row r="15" spans="1:10" ht="20.100000000000001" customHeight="1" x14ac:dyDescent="0.15"/>
    <row r="16" spans="1:10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3">
    <mergeCell ref="H5:H6"/>
    <mergeCell ref="I5:I6"/>
    <mergeCell ref="B5:B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43"/>
  <sheetViews>
    <sheetView workbookViewId="0"/>
  </sheetViews>
  <sheetFormatPr defaultRowHeight="12" x14ac:dyDescent="0.15"/>
  <cols>
    <col min="1" max="1" width="2.28515625" style="3" customWidth="1"/>
    <col min="2" max="2" width="20.7109375" style="3" customWidth="1"/>
    <col min="3" max="3" width="2.28515625" style="3" customWidth="1"/>
    <col min="4" max="7" width="17.140625" style="3" customWidth="1"/>
    <col min="8" max="16384" width="9.140625" style="3"/>
  </cols>
  <sheetData>
    <row r="1" spans="1:7" ht="20.100000000000001" customHeight="1" x14ac:dyDescent="0.15">
      <c r="A1" s="249" t="s">
        <v>511</v>
      </c>
    </row>
    <row r="2" spans="1:7" ht="39.950000000000003" customHeight="1" x14ac:dyDescent="0.15">
      <c r="A2" s="4" t="s">
        <v>211</v>
      </c>
      <c r="B2" s="4"/>
      <c r="C2" s="4"/>
      <c r="D2" s="4"/>
      <c r="E2" s="4"/>
      <c r="F2" s="4"/>
      <c r="G2" s="4"/>
    </row>
    <row r="3" spans="1:7" ht="20.100000000000001" customHeight="1" x14ac:dyDescent="0.15">
      <c r="A3" s="51"/>
      <c r="B3" s="51"/>
      <c r="C3" s="51"/>
      <c r="D3" s="51"/>
      <c r="E3" s="51"/>
      <c r="F3" s="51"/>
      <c r="G3" s="51"/>
    </row>
    <row r="4" spans="1:7" ht="20.100000000000001" customHeight="1" x14ac:dyDescent="0.15">
      <c r="G4" s="40"/>
    </row>
    <row r="5" spans="1:7" ht="50.1" customHeight="1" x14ac:dyDescent="0.15">
      <c r="A5" s="872" t="s">
        <v>232</v>
      </c>
      <c r="B5" s="870"/>
      <c r="C5" s="873"/>
      <c r="D5" s="50" t="s">
        <v>514</v>
      </c>
      <c r="E5" s="116" t="s">
        <v>430</v>
      </c>
      <c r="F5" s="52" t="s">
        <v>212</v>
      </c>
      <c r="G5" s="67" t="s">
        <v>160</v>
      </c>
    </row>
    <row r="6" spans="1:7" ht="32.1" customHeight="1" x14ac:dyDescent="0.15">
      <c r="A6" s="53"/>
      <c r="B6" s="54"/>
      <c r="C6" s="55"/>
      <c r="D6" s="56"/>
      <c r="E6" s="117"/>
      <c r="F6" s="57"/>
      <c r="G6" s="57"/>
    </row>
    <row r="7" spans="1:7" ht="60" customHeight="1" x14ac:dyDescent="0.15">
      <c r="A7" s="59"/>
      <c r="B7" s="60" t="s">
        <v>419</v>
      </c>
      <c r="C7" s="58"/>
      <c r="D7" s="49">
        <v>15</v>
      </c>
      <c r="E7" s="118">
        <v>12</v>
      </c>
      <c r="F7" s="62">
        <f>MIN(D7:E7)</f>
        <v>12</v>
      </c>
      <c r="G7" s="62"/>
    </row>
    <row r="8" spans="1:7" ht="60" customHeight="1" x14ac:dyDescent="0.15">
      <c r="A8" s="59"/>
      <c r="B8" s="60" t="s">
        <v>420</v>
      </c>
      <c r="C8" s="58"/>
      <c r="D8" s="49">
        <v>25</v>
      </c>
      <c r="E8" s="61"/>
      <c r="F8" s="62"/>
      <c r="G8" s="62"/>
    </row>
    <row r="9" spans="1:7" ht="60" customHeight="1" x14ac:dyDescent="0.15">
      <c r="A9" s="59"/>
      <c r="B9" s="60" t="s">
        <v>421</v>
      </c>
      <c r="C9" s="58"/>
      <c r="D9" s="49">
        <v>10</v>
      </c>
      <c r="E9" s="62"/>
      <c r="F9" s="62"/>
      <c r="G9" s="62"/>
    </row>
    <row r="10" spans="1:7" ht="60" customHeight="1" x14ac:dyDescent="0.15">
      <c r="A10" s="59"/>
      <c r="B10" s="60" t="s">
        <v>422</v>
      </c>
      <c r="C10" s="58"/>
      <c r="D10" s="49">
        <v>10</v>
      </c>
      <c r="E10" s="62"/>
      <c r="F10" s="62"/>
      <c r="G10" s="62"/>
    </row>
    <row r="11" spans="1:7" ht="32.1" customHeight="1" x14ac:dyDescent="0.15">
      <c r="A11" s="63"/>
      <c r="B11" s="64"/>
      <c r="C11" s="65"/>
      <c r="D11" s="66"/>
      <c r="E11" s="66"/>
      <c r="F11" s="66"/>
      <c r="G11" s="66"/>
    </row>
    <row r="12" spans="1:7" ht="20.100000000000001" customHeight="1" x14ac:dyDescent="0.15">
      <c r="A12" s="250" t="s">
        <v>540</v>
      </c>
    </row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1">
    <mergeCell ref="A5:C5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03"/>
  <sheetViews>
    <sheetView showZeros="0" view="pageBreakPreview" zoomScale="70" zoomScaleSheetLayoutView="70" workbookViewId="0">
      <selection activeCell="J17" sqref="J17"/>
    </sheetView>
  </sheetViews>
  <sheetFormatPr defaultRowHeight="12" x14ac:dyDescent="0.15"/>
  <cols>
    <col min="1" max="1" width="4.7109375" style="160" customWidth="1"/>
    <col min="2" max="2" width="5.5703125" style="160" customWidth="1"/>
    <col min="3" max="3" width="0.5703125" style="160" customWidth="1"/>
    <col min="4" max="4" width="25.28515625" style="716" customWidth="1"/>
    <col min="5" max="5" width="0.5703125" style="160" customWidth="1"/>
    <col min="6" max="6" width="25.28515625" style="160" customWidth="1"/>
    <col min="7" max="7" width="6.140625" style="155" customWidth="1"/>
    <col min="8" max="8" width="8.85546875" style="160" customWidth="1"/>
    <col min="9" max="9" width="18.5703125" style="578" hidden="1" customWidth="1"/>
    <col min="10" max="10" width="10.28515625" style="160" customWidth="1"/>
    <col min="11" max="11" width="12.5703125" style="160" customWidth="1"/>
    <col min="12" max="12" width="10.28515625" style="160" customWidth="1"/>
    <col min="13" max="13" width="12.5703125" style="160" customWidth="1"/>
    <col min="14" max="14" width="7.7109375" style="160" customWidth="1"/>
    <col min="15" max="15" width="9.85546875" style="160" customWidth="1"/>
    <col min="16" max="16" width="11.5703125" style="160" customWidth="1"/>
    <col min="17" max="17" width="0.5703125" style="160" customWidth="1"/>
    <col min="18" max="18" width="9.42578125" style="160" bestFit="1" customWidth="1"/>
    <col min="19" max="19" width="0.5703125" style="160" customWidth="1"/>
    <col min="20" max="20" width="7.7109375" style="805" customWidth="1"/>
    <col min="21" max="21" width="9.140625" style="810" customWidth="1"/>
    <col min="22" max="22" width="9.140625" style="160" hidden="1" customWidth="1"/>
    <col min="23" max="23" width="12.140625" style="160" hidden="1" customWidth="1"/>
    <col min="24" max="24" width="24.42578125" style="672" hidden="1" customWidth="1"/>
    <col min="25" max="25" width="1.7109375" style="160" customWidth="1"/>
    <col min="26" max="26" width="19.28515625" style="741" customWidth="1"/>
    <col min="27" max="16384" width="9.140625" style="160"/>
  </cols>
  <sheetData>
    <row r="1" spans="1:26" ht="20.100000000000001" customHeight="1" x14ac:dyDescent="0.15">
      <c r="A1" s="167" t="s">
        <v>1087</v>
      </c>
    </row>
    <row r="2" spans="1:26" ht="30" customHeight="1" x14ac:dyDescent="0.15">
      <c r="A2" s="157" t="s">
        <v>1088</v>
      </c>
      <c r="B2" s="157"/>
      <c r="C2" s="157"/>
      <c r="D2" s="717"/>
      <c r="E2" s="157"/>
      <c r="F2" s="157"/>
      <c r="G2" s="157"/>
      <c r="H2" s="157"/>
      <c r="I2" s="582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6" ht="12.75" customHeight="1" x14ac:dyDescent="0.15">
      <c r="A3" s="184"/>
      <c r="B3" s="184"/>
      <c r="C3" s="184"/>
      <c r="D3" s="718"/>
      <c r="E3" s="184"/>
      <c r="F3" s="184"/>
      <c r="G3" s="184"/>
      <c r="H3" s="184"/>
      <c r="I3" s="583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806"/>
      <c r="U3" s="809"/>
      <c r="V3" s="388"/>
      <c r="W3" s="388"/>
      <c r="X3" s="673"/>
    </row>
    <row r="4" spans="1:26" ht="20.100000000000001" customHeight="1" x14ac:dyDescent="0.15">
      <c r="A4" s="167" t="str">
        <f>집계!A4</f>
        <v>건명 : 실학박물관 중앙홀 환경개선공사</v>
      </c>
      <c r="B4" s="167"/>
      <c r="C4" s="167"/>
      <c r="D4" s="472"/>
      <c r="E4" s="167"/>
      <c r="F4" s="167"/>
      <c r="G4" s="185"/>
      <c r="H4" s="167"/>
      <c r="I4" s="584"/>
      <c r="J4" s="167"/>
      <c r="K4" s="167"/>
      <c r="L4" s="167"/>
      <c r="M4" s="167"/>
      <c r="N4" s="167"/>
      <c r="O4" s="167"/>
      <c r="P4" s="167"/>
      <c r="Q4" s="167"/>
      <c r="R4" s="186"/>
      <c r="S4" s="186" t="s">
        <v>81</v>
      </c>
      <c r="X4" s="139" t="e">
        <f ca="1">TRUNC([1]!dhtextevaluate(AL4),2)</f>
        <v>#NAME?</v>
      </c>
      <c r="Z4" s="139" t="e">
        <f ca="1">TRUNC([1]!dhtextevaluate(AO4),2)</f>
        <v>#NAME?</v>
      </c>
    </row>
    <row r="5" spans="1:26" ht="19.5" customHeight="1" x14ac:dyDescent="0.15">
      <c r="A5" s="899" t="s">
        <v>1089</v>
      </c>
      <c r="B5" s="900"/>
      <c r="C5" s="899" t="s">
        <v>1090</v>
      </c>
      <c r="D5" s="900"/>
      <c r="E5" s="899" t="s">
        <v>1091</v>
      </c>
      <c r="F5" s="900"/>
      <c r="G5" s="903" t="s">
        <v>1092</v>
      </c>
      <c r="H5" s="903" t="s">
        <v>1093</v>
      </c>
      <c r="I5" s="585"/>
      <c r="J5" s="162" t="s">
        <v>1094</v>
      </c>
      <c r="K5" s="187"/>
      <c r="L5" s="161" t="s">
        <v>1095</v>
      </c>
      <c r="M5" s="161"/>
      <c r="N5" s="161" t="s">
        <v>1096</v>
      </c>
      <c r="O5" s="161"/>
      <c r="P5" s="903" t="s">
        <v>1097</v>
      </c>
      <c r="Q5" s="188"/>
      <c r="R5" s="897" t="s">
        <v>1098</v>
      </c>
      <c r="S5" s="189"/>
    </row>
    <row r="6" spans="1:26" ht="19.5" customHeight="1" x14ac:dyDescent="0.15">
      <c r="A6" s="901"/>
      <c r="B6" s="902"/>
      <c r="C6" s="901"/>
      <c r="D6" s="902"/>
      <c r="E6" s="901"/>
      <c r="F6" s="902"/>
      <c r="G6" s="904"/>
      <c r="H6" s="904"/>
      <c r="I6" s="586"/>
      <c r="J6" s="667" t="s">
        <v>1099</v>
      </c>
      <c r="K6" s="667" t="s">
        <v>1100</v>
      </c>
      <c r="L6" s="667" t="s">
        <v>1101</v>
      </c>
      <c r="M6" s="667" t="s">
        <v>1100</v>
      </c>
      <c r="N6" s="667" t="s">
        <v>1101</v>
      </c>
      <c r="O6" s="667" t="s">
        <v>1100</v>
      </c>
      <c r="P6" s="904"/>
      <c r="Q6" s="190"/>
      <c r="R6" s="898"/>
      <c r="S6" s="191"/>
      <c r="X6" s="724" t="s">
        <v>1111</v>
      </c>
    </row>
    <row r="7" spans="1:26" ht="18.600000000000001" customHeight="1" x14ac:dyDescent="0.15">
      <c r="A7" s="665"/>
      <c r="B7" s="645"/>
      <c r="C7" s="666"/>
      <c r="D7" s="719"/>
      <c r="E7" s="646"/>
      <c r="F7" s="647"/>
      <c r="G7" s="665"/>
      <c r="H7" s="648" t="s">
        <v>1102</v>
      </c>
      <c r="I7" s="649"/>
      <c r="J7" s="648" t="s">
        <v>1103</v>
      </c>
      <c r="K7" s="650"/>
      <c r="L7" s="648" t="s">
        <v>1104</v>
      </c>
      <c r="M7" s="650"/>
      <c r="N7" s="648" t="s">
        <v>1105</v>
      </c>
      <c r="O7" s="650"/>
      <c r="P7" s="650"/>
      <c r="Q7" s="651"/>
      <c r="R7" s="652"/>
      <c r="S7" s="653"/>
      <c r="T7" s="807"/>
      <c r="U7" s="809">
        <f>SUM(U8:U181)</f>
        <v>63934520</v>
      </c>
      <c r="V7" s="121"/>
      <c r="W7" s="121"/>
    </row>
    <row r="8" spans="1:26" s="699" customFormat="1" ht="18.75" customHeight="1" x14ac:dyDescent="0.15">
      <c r="A8" s="706">
        <f>집계!A6</f>
        <v>1</v>
      </c>
      <c r="B8" s="655"/>
      <c r="C8" s="574"/>
      <c r="D8" s="669" t="str">
        <f>집계!D6</f>
        <v>가설</v>
      </c>
      <c r="E8" s="670"/>
      <c r="F8" s="669"/>
      <c r="G8" s="207"/>
      <c r="H8" s="139"/>
      <c r="I8" s="702"/>
      <c r="J8" s="454"/>
      <c r="K8" s="454"/>
      <c r="L8" s="454"/>
      <c r="M8" s="454"/>
      <c r="N8" s="454"/>
      <c r="O8" s="454"/>
      <c r="P8" s="454"/>
      <c r="Q8" s="194"/>
      <c r="R8" s="195"/>
      <c r="S8" s="153"/>
      <c r="T8" s="804"/>
      <c r="U8" s="810">
        <f>TRUNC(SUM(J8,L8,N8)*H8)</f>
        <v>0</v>
      </c>
      <c r="V8" s="703"/>
      <c r="W8" s="703"/>
      <c r="X8" s="673"/>
      <c r="Z8" s="741"/>
    </row>
    <row r="9" spans="1:26" s="699" customFormat="1" ht="18.75" customHeight="1" x14ac:dyDescent="0.15">
      <c r="A9" s="691"/>
      <c r="B9" s="692"/>
      <c r="C9" s="693"/>
      <c r="D9" s="707" t="s">
        <v>1084</v>
      </c>
      <c r="E9" s="708"/>
      <c r="F9" s="707" t="s">
        <v>1210</v>
      </c>
      <c r="G9" s="709" t="s">
        <v>350</v>
      </c>
      <c r="H9" s="139">
        <v>175.66</v>
      </c>
      <c r="I9" s="702" t="str">
        <f>CONCATENATE(D9,F9,G9)</f>
        <v>먹매김구조부㎡</v>
      </c>
      <c r="J9" s="454" t="str">
        <f>IF($G9="인","",VLOOKUP($I:$I,목록!$A:$M,8,FALSE))</f>
        <v/>
      </c>
      <c r="K9" s="454" t="str">
        <f>IF(J9="","",TRUNC(J9*$H9,0))</f>
        <v/>
      </c>
      <c r="L9" s="454">
        <f>IF($G9="인","",VLOOKUP($I:$I,목록!$A:$M,9,FALSE))</f>
        <v>1521</v>
      </c>
      <c r="M9" s="454">
        <f>IF(L9="","",TRUNC(L9*$H9,0))</f>
        <v>267178</v>
      </c>
      <c r="N9" s="454" t="str">
        <f>IF($G9="인","",VLOOKUP($I:$I,목록!$A:$M,10,FALSE))</f>
        <v/>
      </c>
      <c r="O9" s="454" t="str">
        <f>IF(N9="","",TRUNC(N9*$H9,0))</f>
        <v/>
      </c>
      <c r="P9" s="454">
        <f>SUM(K9,M9,O9)</f>
        <v>267178</v>
      </c>
      <c r="Q9" s="194"/>
      <c r="R9" s="195" t="str">
        <f>"제"&amp;VLOOKUP($I:$I,목록!$A:$M,2,FALSE)&amp;"호표"</f>
        <v>제1호표</v>
      </c>
      <c r="S9" s="698"/>
      <c r="T9" s="804"/>
      <c r="U9" s="810">
        <f>TRUNC(SUM(J9,L9,N9)*H9)</f>
        <v>267178</v>
      </c>
      <c r="V9" s="703"/>
      <c r="W9" s="703"/>
      <c r="X9" s="673" t="s">
        <v>1204</v>
      </c>
      <c r="Z9" s="741"/>
    </row>
    <row r="10" spans="1:26" s="699" customFormat="1" ht="18.75" customHeight="1" x14ac:dyDescent="0.15">
      <c r="A10" s="691"/>
      <c r="B10" s="692"/>
      <c r="C10" s="693"/>
      <c r="D10" s="629" t="s">
        <v>608</v>
      </c>
      <c r="E10" s="670"/>
      <c r="F10" s="629" t="s">
        <v>1436</v>
      </c>
      <c r="G10" s="709" t="s">
        <v>432</v>
      </c>
      <c r="H10" s="139">
        <v>1</v>
      </c>
      <c r="I10" s="702" t="str">
        <f>CONCATENATE(D10,F10,G10)</f>
        <v>이동식강관조립말비계3개월대</v>
      </c>
      <c r="J10" s="454">
        <f>IF($G10="인","",VLOOKUP($I:$I,목록!$A:$M,8,FALSE))</f>
        <v>28405</v>
      </c>
      <c r="K10" s="454">
        <f>IF(J10="","",TRUNC(J10*$H10,0))</f>
        <v>28405</v>
      </c>
      <c r="L10" s="454">
        <f>IF($G10="인","",VLOOKUP($I:$I,목록!$A:$M,9,FALSE))</f>
        <v>61900</v>
      </c>
      <c r="M10" s="454">
        <f>IF(L10="","",TRUNC(L10*$H10,0))</f>
        <v>61900</v>
      </c>
      <c r="N10" s="454" t="str">
        <f>IF($G10="인","",VLOOKUP($I:$I,목록!$A:$M,10,FALSE))</f>
        <v/>
      </c>
      <c r="O10" s="454" t="str">
        <f>IF(N10="","",TRUNC(N10*$H10,0))</f>
        <v/>
      </c>
      <c r="P10" s="454">
        <f>SUM(K10,M10,O10)</f>
        <v>90305</v>
      </c>
      <c r="Q10" s="194"/>
      <c r="R10" s="195" t="str">
        <f>"제"&amp;VLOOKUP($I:$I,목록!$A:$M,2,FALSE)&amp;"호표"</f>
        <v>제2호표</v>
      </c>
      <c r="S10" s="698"/>
      <c r="T10" s="804"/>
      <c r="U10" s="810">
        <f t="shared" ref="U10:U73" si="0">TRUNC(SUM(J10,L10,N10)*H10)</f>
        <v>90305</v>
      </c>
      <c r="V10" s="703"/>
      <c r="W10" s="703"/>
      <c r="X10" s="673">
        <v>1</v>
      </c>
      <c r="Z10" s="741"/>
    </row>
    <row r="11" spans="1:26" s="699" customFormat="1" ht="18.75" customHeight="1" x14ac:dyDescent="0.15">
      <c r="A11" s="691"/>
      <c r="B11" s="692"/>
      <c r="C11" s="693"/>
      <c r="D11" s="707" t="s">
        <v>1085</v>
      </c>
      <c r="E11" s="736"/>
      <c r="F11" s="629" t="s">
        <v>1148</v>
      </c>
      <c r="G11" s="737" t="s">
        <v>350</v>
      </c>
      <c r="H11" s="139">
        <v>175.66</v>
      </c>
      <c r="I11" s="702" t="str">
        <f t="shared" ref="I11" si="1">CONCATENATE(D11,F11,G11)</f>
        <v>현장정리정돈준공청소 포함㎡</v>
      </c>
      <c r="J11" s="454">
        <f>IF($G11="인","",VLOOKUP($I:$I,목록!$A:$M,8,FALSE))</f>
        <v>373</v>
      </c>
      <c r="K11" s="454">
        <f t="shared" ref="K11" si="2">IF(J11="","",TRUNC(J11*$H11,0))</f>
        <v>65521</v>
      </c>
      <c r="L11" s="454">
        <f>IF($G11="인","",VLOOKUP($I:$I,목록!$A:$M,9,FALSE))</f>
        <v>7479</v>
      </c>
      <c r="M11" s="454">
        <f t="shared" ref="M11" si="3">IF(L11="","",TRUNC(L11*$H11,0))</f>
        <v>1313761</v>
      </c>
      <c r="N11" s="454" t="str">
        <f>IF($G11="인","",VLOOKUP($I:$I,목록!$A:$M,10,FALSE))</f>
        <v/>
      </c>
      <c r="O11" s="454" t="str">
        <f t="shared" ref="O11" si="4">IF(N11="","",TRUNC(N11*$H11,0))</f>
        <v/>
      </c>
      <c r="P11" s="454">
        <f t="shared" ref="P11" si="5">SUM(K11,M11,O11)</f>
        <v>1379282</v>
      </c>
      <c r="Q11" s="194"/>
      <c r="R11" s="195" t="str">
        <f>"제"&amp;VLOOKUP($I:$I,목록!$A:$M,2,FALSE)&amp;"호표"</f>
        <v>제3호표</v>
      </c>
      <c r="S11" s="698"/>
      <c r="T11" s="804"/>
      <c r="U11" s="810">
        <f t="shared" si="0"/>
        <v>1379282</v>
      </c>
      <c r="V11" s="701"/>
      <c r="W11" s="701"/>
      <c r="X11" s="673" t="s">
        <v>1204</v>
      </c>
      <c r="Z11" s="741"/>
    </row>
    <row r="12" spans="1:26" s="699" customFormat="1" ht="18.75" customHeight="1" x14ac:dyDescent="0.15">
      <c r="A12" s="691"/>
      <c r="B12" s="692"/>
      <c r="C12" s="693"/>
      <c r="D12" s="707" t="s">
        <v>584</v>
      </c>
      <c r="E12" s="736"/>
      <c r="F12" s="707" t="s">
        <v>1109</v>
      </c>
      <c r="G12" s="737" t="s">
        <v>350</v>
      </c>
      <c r="H12" s="139">
        <v>175.66</v>
      </c>
      <c r="I12" s="702" t="str">
        <f t="shared" ref="I12" si="6">CONCATENATE(D12,F12,G12)</f>
        <v>보양플라베니아,3*6(3T)㎡</v>
      </c>
      <c r="J12" s="454">
        <f>IF($G12="인","",VLOOKUP($I:$I,목록!$A:$M,8,FALSE))</f>
        <v>2478</v>
      </c>
      <c r="K12" s="454">
        <f t="shared" ref="K12" si="7">IF(J12="","",TRUNC(J12*$H12,0))</f>
        <v>435285</v>
      </c>
      <c r="L12" s="454">
        <f>IF($G12="인","",VLOOKUP($I:$I,목록!$A:$M,9,FALSE))</f>
        <v>1068</v>
      </c>
      <c r="M12" s="454">
        <f t="shared" ref="M12" si="8">IF(L12="","",TRUNC(L12*$H12,0))</f>
        <v>187604</v>
      </c>
      <c r="N12" s="454" t="str">
        <f>IF($G12="인","",VLOOKUP($I:$I,목록!$A:$M,10,FALSE))</f>
        <v/>
      </c>
      <c r="O12" s="454" t="str">
        <f t="shared" ref="O12" si="9">IF(N12="","",TRUNC(N12*$H12,0))</f>
        <v/>
      </c>
      <c r="P12" s="454">
        <f t="shared" ref="P12" si="10">SUM(K12,M12,O12)</f>
        <v>622889</v>
      </c>
      <c r="Q12" s="194"/>
      <c r="R12" s="195" t="str">
        <f>"제"&amp;VLOOKUP($I:$I,목록!$A:$M,2,FALSE)&amp;"호표"</f>
        <v>제4호표</v>
      </c>
      <c r="S12" s="698"/>
      <c r="T12" s="804"/>
      <c r="U12" s="810">
        <f t="shared" si="0"/>
        <v>622890</v>
      </c>
      <c r="V12" s="701"/>
      <c r="W12" s="701"/>
      <c r="X12" s="673" t="s">
        <v>1204</v>
      </c>
      <c r="Z12" s="741"/>
    </row>
    <row r="13" spans="1:26" s="699" customFormat="1" ht="18.75" customHeight="1" x14ac:dyDescent="0.15">
      <c r="A13" s="691"/>
      <c r="B13" s="692"/>
      <c r="C13" s="693"/>
      <c r="D13" s="707"/>
      <c r="E13" s="736"/>
      <c r="F13" s="707"/>
      <c r="G13" s="737"/>
      <c r="H13" s="139">
        <v>0</v>
      </c>
      <c r="I13" s="702"/>
      <c r="J13" s="695"/>
      <c r="K13" s="695"/>
      <c r="L13" s="695"/>
      <c r="M13" s="695"/>
      <c r="N13" s="695"/>
      <c r="O13" s="695"/>
      <c r="P13" s="695"/>
      <c r="Q13" s="696"/>
      <c r="R13" s="697"/>
      <c r="S13" s="698"/>
      <c r="T13" s="804"/>
      <c r="U13" s="810">
        <f t="shared" ref="U13:U17" si="11">TRUNC(SUM(J13,L13,N13)*H13)</f>
        <v>0</v>
      </c>
      <c r="V13" s="703"/>
      <c r="W13" s="703"/>
      <c r="X13" s="673"/>
      <c r="Z13" s="741"/>
    </row>
    <row r="14" spans="1:26" s="699" customFormat="1" ht="18.75" customHeight="1" x14ac:dyDescent="0.15">
      <c r="A14" s="691"/>
      <c r="B14" s="692"/>
      <c r="C14" s="693"/>
      <c r="D14" s="707"/>
      <c r="E14" s="736"/>
      <c r="F14" s="707"/>
      <c r="G14" s="737"/>
      <c r="H14" s="139">
        <v>0</v>
      </c>
      <c r="I14" s="702"/>
      <c r="J14" s="695"/>
      <c r="K14" s="695"/>
      <c r="L14" s="695"/>
      <c r="M14" s="695"/>
      <c r="N14" s="695"/>
      <c r="O14" s="695"/>
      <c r="P14" s="695"/>
      <c r="Q14" s="696"/>
      <c r="R14" s="697"/>
      <c r="S14" s="698"/>
      <c r="T14" s="804"/>
      <c r="U14" s="810">
        <f t="shared" si="11"/>
        <v>0</v>
      </c>
      <c r="V14" s="703"/>
      <c r="W14" s="703"/>
      <c r="X14" s="673"/>
      <c r="Z14" s="741"/>
    </row>
    <row r="15" spans="1:26" s="699" customFormat="1" ht="18.75" customHeight="1" x14ac:dyDescent="0.15">
      <c r="A15" s="691"/>
      <c r="B15" s="692"/>
      <c r="C15" s="693"/>
      <c r="D15" s="707"/>
      <c r="E15" s="736"/>
      <c r="F15" s="707"/>
      <c r="G15" s="737"/>
      <c r="H15" s="139">
        <v>0</v>
      </c>
      <c r="I15" s="702"/>
      <c r="J15" s="695"/>
      <c r="K15" s="695"/>
      <c r="L15" s="695"/>
      <c r="M15" s="695"/>
      <c r="N15" s="695"/>
      <c r="O15" s="695"/>
      <c r="P15" s="695"/>
      <c r="Q15" s="696"/>
      <c r="R15" s="697"/>
      <c r="S15" s="698"/>
      <c r="T15" s="804"/>
      <c r="U15" s="810">
        <f t="shared" si="11"/>
        <v>0</v>
      </c>
      <c r="V15" s="703"/>
      <c r="W15" s="703"/>
      <c r="X15" s="673"/>
      <c r="Z15" s="741"/>
    </row>
    <row r="16" spans="1:26" s="699" customFormat="1" ht="18.75" customHeight="1" x14ac:dyDescent="0.15">
      <c r="A16" s="691"/>
      <c r="B16" s="692"/>
      <c r="C16" s="693"/>
      <c r="D16" s="707"/>
      <c r="E16" s="736"/>
      <c r="F16" s="707"/>
      <c r="G16" s="737"/>
      <c r="H16" s="139">
        <v>0</v>
      </c>
      <c r="I16" s="702"/>
      <c r="J16" s="695"/>
      <c r="K16" s="695"/>
      <c r="L16" s="695"/>
      <c r="M16" s="695"/>
      <c r="N16" s="695"/>
      <c r="O16" s="695"/>
      <c r="P16" s="695"/>
      <c r="Q16" s="696"/>
      <c r="R16" s="697"/>
      <c r="S16" s="698"/>
      <c r="T16" s="804"/>
      <c r="U16" s="810">
        <f t="shared" si="11"/>
        <v>0</v>
      </c>
      <c r="V16" s="703"/>
      <c r="W16" s="703"/>
      <c r="X16" s="673"/>
      <c r="Z16" s="741"/>
    </row>
    <row r="17" spans="1:26" s="699" customFormat="1" ht="18.75" customHeight="1" x14ac:dyDescent="0.15">
      <c r="A17" s="691"/>
      <c r="B17" s="692"/>
      <c r="C17" s="693"/>
      <c r="D17" s="707"/>
      <c r="E17" s="736"/>
      <c r="F17" s="707"/>
      <c r="G17" s="737"/>
      <c r="H17" s="139">
        <v>0</v>
      </c>
      <c r="I17" s="702"/>
      <c r="J17" s="695"/>
      <c r="K17" s="695"/>
      <c r="L17" s="695"/>
      <c r="M17" s="695"/>
      <c r="N17" s="695"/>
      <c r="O17" s="695"/>
      <c r="P17" s="695"/>
      <c r="Q17" s="696"/>
      <c r="R17" s="697"/>
      <c r="S17" s="698"/>
      <c r="T17" s="804"/>
      <c r="U17" s="810">
        <f t="shared" si="11"/>
        <v>0</v>
      </c>
      <c r="V17" s="703"/>
      <c r="W17" s="703"/>
      <c r="X17" s="673"/>
      <c r="Z17" s="741"/>
    </row>
    <row r="18" spans="1:26" s="699" customFormat="1" ht="18.75" customHeight="1" x14ac:dyDescent="0.15">
      <c r="A18" s="691"/>
      <c r="B18" s="692"/>
      <c r="C18" s="693"/>
      <c r="D18" s="707"/>
      <c r="E18" s="736"/>
      <c r="F18" s="707"/>
      <c r="G18" s="737"/>
      <c r="H18" s="139">
        <v>0</v>
      </c>
      <c r="I18" s="702"/>
      <c r="J18" s="695"/>
      <c r="K18" s="695"/>
      <c r="L18" s="695"/>
      <c r="M18" s="695"/>
      <c r="N18" s="695"/>
      <c r="O18" s="695"/>
      <c r="P18" s="695"/>
      <c r="Q18" s="696"/>
      <c r="R18" s="697"/>
      <c r="S18" s="698"/>
      <c r="T18" s="804"/>
      <c r="U18" s="810">
        <f t="shared" si="0"/>
        <v>0</v>
      </c>
      <c r="V18" s="703"/>
      <c r="W18" s="703"/>
      <c r="X18" s="673"/>
      <c r="Z18" s="741"/>
    </row>
    <row r="19" spans="1:26" s="699" customFormat="1" ht="18.75" customHeight="1" x14ac:dyDescent="0.15">
      <c r="A19" s="691"/>
      <c r="B19" s="692"/>
      <c r="C19" s="693"/>
      <c r="D19" s="707"/>
      <c r="E19" s="736"/>
      <c r="F19" s="707"/>
      <c r="G19" s="737"/>
      <c r="H19" s="139">
        <v>0</v>
      </c>
      <c r="I19" s="702"/>
      <c r="J19" s="695"/>
      <c r="K19" s="695"/>
      <c r="L19" s="695"/>
      <c r="M19" s="695"/>
      <c r="N19" s="695"/>
      <c r="O19" s="695"/>
      <c r="P19" s="695"/>
      <c r="Q19" s="696"/>
      <c r="R19" s="697"/>
      <c r="S19" s="698"/>
      <c r="T19" s="804"/>
      <c r="U19" s="810">
        <f t="shared" si="0"/>
        <v>0</v>
      </c>
      <c r="V19" s="703"/>
      <c r="W19" s="703"/>
      <c r="X19" s="673"/>
      <c r="Z19" s="741"/>
    </row>
    <row r="20" spans="1:26" s="699" customFormat="1" ht="18.75" customHeight="1" x14ac:dyDescent="0.15">
      <c r="A20" s="691"/>
      <c r="B20" s="692"/>
      <c r="C20" s="693"/>
      <c r="D20" s="707"/>
      <c r="E20" s="736"/>
      <c r="F20" s="707"/>
      <c r="G20" s="737"/>
      <c r="H20" s="139">
        <v>0</v>
      </c>
      <c r="I20" s="702"/>
      <c r="J20" s="695"/>
      <c r="K20" s="695"/>
      <c r="L20" s="695"/>
      <c r="M20" s="695"/>
      <c r="N20" s="695"/>
      <c r="O20" s="695"/>
      <c r="P20" s="695"/>
      <c r="Q20" s="696"/>
      <c r="R20" s="697"/>
      <c r="S20" s="698"/>
      <c r="T20" s="804"/>
      <c r="U20" s="810">
        <f t="shared" si="0"/>
        <v>0</v>
      </c>
      <c r="V20" s="703"/>
      <c r="W20" s="703"/>
      <c r="X20" s="673"/>
      <c r="Z20" s="741"/>
    </row>
    <row r="21" spans="1:26" s="699" customFormat="1" ht="18.75" customHeight="1" x14ac:dyDescent="0.15">
      <c r="A21" s="691"/>
      <c r="B21" s="692"/>
      <c r="C21" s="693"/>
      <c r="D21" s="707"/>
      <c r="E21" s="736"/>
      <c r="F21" s="707"/>
      <c r="G21" s="737"/>
      <c r="H21" s="139">
        <v>0</v>
      </c>
      <c r="I21" s="702"/>
      <c r="J21" s="695"/>
      <c r="K21" s="695"/>
      <c r="L21" s="695"/>
      <c r="M21" s="695"/>
      <c r="N21" s="695"/>
      <c r="O21" s="695"/>
      <c r="P21" s="695"/>
      <c r="Q21" s="696"/>
      <c r="R21" s="697"/>
      <c r="S21" s="698"/>
      <c r="T21" s="804"/>
      <c r="U21" s="810">
        <f t="shared" si="0"/>
        <v>0</v>
      </c>
      <c r="V21" s="703"/>
      <c r="W21" s="703"/>
      <c r="X21" s="673"/>
      <c r="Z21" s="741"/>
    </row>
    <row r="22" spans="1:26" s="699" customFormat="1" ht="18.75" customHeight="1" x14ac:dyDescent="0.15">
      <c r="A22" s="691"/>
      <c r="B22" s="692"/>
      <c r="C22" s="693"/>
      <c r="D22" s="707"/>
      <c r="E22" s="736"/>
      <c r="F22" s="707"/>
      <c r="G22" s="737"/>
      <c r="H22" s="139">
        <v>0</v>
      </c>
      <c r="I22" s="702"/>
      <c r="J22" s="695"/>
      <c r="K22" s="695"/>
      <c r="L22" s="695"/>
      <c r="M22" s="695"/>
      <c r="N22" s="695"/>
      <c r="O22" s="695"/>
      <c r="P22" s="695"/>
      <c r="Q22" s="696"/>
      <c r="R22" s="697"/>
      <c r="S22" s="698"/>
      <c r="T22" s="804"/>
      <c r="U22" s="810">
        <f t="shared" si="0"/>
        <v>0</v>
      </c>
      <c r="V22" s="703"/>
      <c r="W22" s="703"/>
      <c r="X22" s="673"/>
      <c r="Z22" s="741"/>
    </row>
    <row r="23" spans="1:26" s="598" customFormat="1" ht="18.95" customHeight="1" x14ac:dyDescent="0.15">
      <c r="A23" s="587"/>
      <c r="B23" s="588"/>
      <c r="C23" s="589" t="s">
        <v>346</v>
      </c>
      <c r="D23" s="720"/>
      <c r="E23" s="590"/>
      <c r="F23" s="591"/>
      <c r="G23" s="592"/>
      <c r="H23" s="593">
        <v>0</v>
      </c>
      <c r="I23" s="656" t="str">
        <f>D8</f>
        <v>가설</v>
      </c>
      <c r="J23" s="594"/>
      <c r="K23" s="594">
        <f>SUM(K9:K22)</f>
        <v>529211</v>
      </c>
      <c r="L23" s="594"/>
      <c r="M23" s="594">
        <f>SUM(M9:M22)</f>
        <v>1830443</v>
      </c>
      <c r="N23" s="594"/>
      <c r="O23" s="594">
        <f>SUM(O9:O22)</f>
        <v>0</v>
      </c>
      <c r="P23" s="594">
        <f>SUM(K23,M23,O23)</f>
        <v>2359654</v>
      </c>
      <c r="Q23" s="595"/>
      <c r="R23" s="596"/>
      <c r="S23" s="597"/>
      <c r="T23" s="808"/>
      <c r="U23" s="810">
        <f t="shared" si="0"/>
        <v>0</v>
      </c>
      <c r="V23" s="703" t="s">
        <v>346</v>
      </c>
      <c r="W23" s="703">
        <f>A8</f>
        <v>1</v>
      </c>
      <c r="X23" s="673">
        <v>0</v>
      </c>
      <c r="Z23" s="742"/>
    </row>
    <row r="24" spans="1:26" s="699" customFormat="1" ht="18.75" customHeight="1" x14ac:dyDescent="0.15">
      <c r="A24" s="751" t="str">
        <f>"주 1) 수량 : "&amp;수량!A1&amp;수량!A2&amp;" 참조"</f>
        <v>주 1) 수량 : &lt; 표 : 3 &gt; 재료소요량산출표 참조</v>
      </c>
      <c r="D24" s="748"/>
      <c r="G24" s="155"/>
      <c r="I24" s="578"/>
      <c r="T24" s="805"/>
      <c r="U24" s="810">
        <f t="shared" si="0"/>
        <v>0</v>
      </c>
      <c r="X24" s="673"/>
      <c r="Z24" s="741"/>
    </row>
    <row r="25" spans="1:26" s="699" customFormat="1" ht="18.75" customHeight="1" x14ac:dyDescent="0.15">
      <c r="A25" s="599" t="str">
        <f>"   2) 직접재료비 단가: "&amp;목록!B1&amp;목록!B2&amp;" 및 "&amp;단가!B1&amp;단가!B2&amp;" 참조"</f>
        <v xml:space="preserve">   2) 직접재료비 단가: &lt; 표 : 4 &gt; 일위대가목록표 및 &lt; 표 : 6 &gt; 단가조사비교표 참조</v>
      </c>
      <c r="D25" s="748"/>
      <c r="G25" s="155"/>
      <c r="I25" s="578"/>
      <c r="T25" s="805"/>
      <c r="U25" s="810">
        <f t="shared" si="0"/>
        <v>0</v>
      </c>
      <c r="X25" s="673"/>
      <c r="Z25" s="741"/>
    </row>
    <row r="26" spans="1:26" s="699" customFormat="1" ht="18.75" customHeight="1" x14ac:dyDescent="0.15">
      <c r="A26" s="599" t="str">
        <f>"   3) 직접노무비 단가 : "&amp;목록!B1&amp;목록!B2&amp;" 참조"</f>
        <v xml:space="preserve">   3) 직접노무비 단가 : &lt; 표 : 4 &gt; 일위대가목록표 참조</v>
      </c>
      <c r="D26" s="716"/>
      <c r="G26" s="155"/>
      <c r="I26" s="578"/>
      <c r="T26" s="805"/>
      <c r="U26" s="810">
        <f t="shared" si="0"/>
        <v>0</v>
      </c>
      <c r="X26" s="673"/>
      <c r="Z26" s="741"/>
    </row>
    <row r="27" spans="1:26" s="699" customFormat="1" ht="18.75" customHeight="1" x14ac:dyDescent="0.15">
      <c r="A27" s="599" t="str">
        <f>"   4) 기계경비 단가 : "&amp;목록!B1&amp;목록!B2&amp;" 참조"</f>
        <v xml:space="preserve">   4) 기계경비 단가 : &lt; 표 : 4 &gt; 일위대가목록표 참조</v>
      </c>
      <c r="D27" s="716"/>
      <c r="G27" s="155"/>
      <c r="I27" s="578"/>
      <c r="T27" s="805"/>
      <c r="U27" s="810">
        <f t="shared" si="0"/>
        <v>0</v>
      </c>
      <c r="X27" s="673"/>
      <c r="Z27" s="741"/>
    </row>
    <row r="28" spans="1:26" s="699" customFormat="1" ht="18.75" customHeight="1" x14ac:dyDescent="0.15">
      <c r="A28" s="706">
        <f>집계!A7</f>
        <v>2</v>
      </c>
      <c r="B28" s="655"/>
      <c r="C28" s="574"/>
      <c r="D28" s="669" t="str">
        <f>집계!D7</f>
        <v>철거</v>
      </c>
      <c r="E28" s="670"/>
      <c r="F28" s="669"/>
      <c r="G28" s="207"/>
      <c r="H28" s="139">
        <v>0</v>
      </c>
      <c r="I28" s="702"/>
      <c r="J28" s="454"/>
      <c r="K28" s="454"/>
      <c r="L28" s="454"/>
      <c r="M28" s="454"/>
      <c r="N28" s="454"/>
      <c r="O28" s="454"/>
      <c r="P28" s="454"/>
      <c r="Q28" s="194"/>
      <c r="R28" s="195"/>
      <c r="S28" s="153"/>
      <c r="T28" s="804"/>
      <c r="U28" s="810">
        <f t="shared" ref="U28:U49" si="12">TRUNC(SUM(J28,L28,N28)*H28)</f>
        <v>0</v>
      </c>
      <c r="V28" s="703"/>
      <c r="W28" s="703"/>
      <c r="X28" s="673"/>
      <c r="Z28" s="741"/>
    </row>
    <row r="29" spans="1:26" s="699" customFormat="1" ht="18.75" customHeight="1" x14ac:dyDescent="0.15">
      <c r="A29" s="692"/>
      <c r="B29" s="710" t="s">
        <v>1470</v>
      </c>
      <c r="C29" s="693"/>
      <c r="D29" s="669" t="s">
        <v>1485</v>
      </c>
      <c r="E29" s="708"/>
      <c r="F29" s="669" t="s">
        <v>1471</v>
      </c>
      <c r="G29" s="709"/>
      <c r="H29" s="694">
        <v>0</v>
      </c>
      <c r="I29" s="702"/>
      <c r="J29" s="695"/>
      <c r="K29" s="695"/>
      <c r="L29" s="695"/>
      <c r="M29" s="695"/>
      <c r="N29" s="695"/>
      <c r="O29" s="695"/>
      <c r="P29" s="695"/>
      <c r="Q29" s="696"/>
      <c r="R29" s="697"/>
      <c r="S29" s="698"/>
      <c r="T29" s="804"/>
      <c r="U29" s="810">
        <f t="shared" si="12"/>
        <v>0</v>
      </c>
      <c r="V29" s="703"/>
      <c r="W29" s="703"/>
      <c r="X29" s="673"/>
      <c r="Z29" s="741"/>
    </row>
    <row r="30" spans="1:26" s="699" customFormat="1" ht="18.75" customHeight="1" x14ac:dyDescent="0.15">
      <c r="A30" s="815"/>
      <c r="B30" s="655"/>
      <c r="C30" s="574"/>
      <c r="D30" s="712" t="s">
        <v>1456</v>
      </c>
      <c r="E30" s="736"/>
      <c r="F30" s="712" t="s">
        <v>1469</v>
      </c>
      <c r="G30" s="737" t="s">
        <v>350</v>
      </c>
      <c r="H30" s="139">
        <v>15</v>
      </c>
      <c r="I30" s="702" t="str">
        <f>CONCATENATE(D30,F30,G30)</f>
        <v>벽체 철거구조부 철거㎡</v>
      </c>
      <c r="J30" s="454">
        <f>IF($G30="인","",VLOOKUP($I:$I,목록!$A:$M,8,FALSE))</f>
        <v>587</v>
      </c>
      <c r="K30" s="454">
        <f>IF(J30="","",TRUNC(J30*$H30,0))</f>
        <v>8805</v>
      </c>
      <c r="L30" s="454">
        <f>IF($G30="인","",VLOOKUP($I:$I,목록!$A:$M,9,FALSE))</f>
        <v>11748</v>
      </c>
      <c r="M30" s="454">
        <f>IF(L30="","",TRUNC(L30*$H30,0))</f>
        <v>176220</v>
      </c>
      <c r="N30" s="454" t="str">
        <f>IF($G30="인","",VLOOKUP($I:$I,목록!$A:$M,10,FALSE))</f>
        <v/>
      </c>
      <c r="O30" s="454" t="str">
        <f>IF(N30="","",TRUNC(N30*$H30,0))</f>
        <v/>
      </c>
      <c r="P30" s="454">
        <f>SUM(K30,M30,O30)</f>
        <v>185025</v>
      </c>
      <c r="Q30" s="194"/>
      <c r="R30" s="195" t="str">
        <f>"제"&amp;VLOOKUP($I:$I,목록!$A:$M,2,FALSE)&amp;"호표"</f>
        <v>제5호표</v>
      </c>
      <c r="S30" s="153"/>
      <c r="T30" s="804"/>
      <c r="U30" s="810">
        <f t="shared" si="12"/>
        <v>185025</v>
      </c>
      <c r="V30" s="701"/>
      <c r="W30" s="701"/>
      <c r="X30" s="673" t="s">
        <v>1474</v>
      </c>
      <c r="Z30" s="741"/>
    </row>
    <row r="31" spans="1:26" s="699" customFormat="1" ht="18.75" customHeight="1" x14ac:dyDescent="0.15">
      <c r="A31" s="815"/>
      <c r="B31" s="655"/>
      <c r="C31" s="574"/>
      <c r="D31" s="712" t="s">
        <v>1456</v>
      </c>
      <c r="E31" s="736"/>
      <c r="F31" s="712" t="s">
        <v>1457</v>
      </c>
      <c r="G31" s="737" t="s">
        <v>350</v>
      </c>
      <c r="H31" s="139">
        <v>30</v>
      </c>
      <c r="I31" s="702" t="str">
        <f t="shared" ref="I31" si="13">CONCATENATE(D31,F31,G31)</f>
        <v>벽체 철거판재류 철거㎡</v>
      </c>
      <c r="J31" s="454">
        <f>IF($G31="인","",VLOOKUP($I:$I,목록!$A:$M,8,FALSE))</f>
        <v>226</v>
      </c>
      <c r="K31" s="454">
        <f>IF(J31="","",TRUNC(J31*$H31,0))</f>
        <v>6780</v>
      </c>
      <c r="L31" s="454">
        <f>IF($G31="인","",VLOOKUP($I:$I,목록!$A:$M,9,FALSE))</f>
        <v>4538</v>
      </c>
      <c r="M31" s="454">
        <f>IF(L31="","",TRUNC(L31*$H31,0))</f>
        <v>136140</v>
      </c>
      <c r="N31" s="454" t="str">
        <f>IF($G31="인","",VLOOKUP($I:$I,목록!$A:$M,10,FALSE))</f>
        <v/>
      </c>
      <c r="O31" s="454" t="str">
        <f>IF(N31="","",TRUNC(N31*$H31,0))</f>
        <v/>
      </c>
      <c r="P31" s="454">
        <f t="shared" ref="P31:P32" si="14">SUM(K31,M31,O31)</f>
        <v>142920</v>
      </c>
      <c r="Q31" s="194"/>
      <c r="R31" s="195" t="str">
        <f>"제"&amp;VLOOKUP($I:$I,목록!$A:$M,2,FALSE)&amp;"호표"</f>
        <v>제6호표</v>
      </c>
      <c r="S31" s="153"/>
      <c r="T31" s="804"/>
      <c r="U31" s="810">
        <f t="shared" si="12"/>
        <v>142920</v>
      </c>
      <c r="V31" s="703"/>
      <c r="W31" s="703"/>
      <c r="X31" s="673" t="s">
        <v>1475</v>
      </c>
      <c r="Z31" s="741"/>
    </row>
    <row r="32" spans="1:26" s="699" customFormat="1" ht="18.75" customHeight="1" x14ac:dyDescent="0.15">
      <c r="A32" s="815"/>
      <c r="B32" s="655"/>
      <c r="C32" s="574"/>
      <c r="D32" s="669" t="s">
        <v>1476</v>
      </c>
      <c r="E32" s="670"/>
      <c r="F32" s="669"/>
      <c r="G32" s="737" t="s">
        <v>1477</v>
      </c>
      <c r="H32" s="139">
        <v>1</v>
      </c>
      <c r="I32" s="702" t="str">
        <f t="shared" ref="I32" si="15">CONCATENATE(D32,F32,G32)</f>
        <v>인포데스크 및 수납장철거SET</v>
      </c>
      <c r="J32" s="454">
        <f>IF(I32="인","",VLOOKUP($I:$I,단가!$A:$S,19,FALSE))</f>
        <v>100000</v>
      </c>
      <c r="K32" s="454">
        <f>IF(J32="","",TRUNC(J32*$H32,0))</f>
        <v>100000</v>
      </c>
      <c r="L32" s="454">
        <v>0</v>
      </c>
      <c r="M32" s="454">
        <f>IF(L32="","",TRUNC(L32*$H32,0))</f>
        <v>0</v>
      </c>
      <c r="N32" s="454">
        <v>0</v>
      </c>
      <c r="O32" s="454">
        <f>IF(N32="","",TRUNC(N32*$H32,0))</f>
        <v>0</v>
      </c>
      <c r="P32" s="454">
        <f t="shared" si="14"/>
        <v>100000</v>
      </c>
      <c r="Q32" s="194"/>
      <c r="R32" s="195" t="str">
        <f>"단가"&amp;VLOOKUP($I:$I,단가!$A:$B,2,FALSE)&amp;"번"</f>
        <v>단가94번</v>
      </c>
      <c r="S32" s="153"/>
      <c r="T32" s="804"/>
      <c r="U32" s="810">
        <f t="shared" si="12"/>
        <v>100000</v>
      </c>
      <c r="V32" s="703"/>
      <c r="W32" s="703"/>
      <c r="X32" s="673">
        <v>1</v>
      </c>
      <c r="Z32" s="741"/>
    </row>
    <row r="33" spans="1:26" s="699" customFormat="1" ht="18.75" customHeight="1" x14ac:dyDescent="0.15">
      <c r="A33" s="692"/>
      <c r="B33" s="710" t="s">
        <v>1472</v>
      </c>
      <c r="C33" s="693"/>
      <c r="D33" s="669" t="s">
        <v>1473</v>
      </c>
      <c r="E33" s="736"/>
      <c r="F33" s="669"/>
      <c r="G33" s="737"/>
      <c r="H33" s="139">
        <v>0</v>
      </c>
      <c r="I33" s="702"/>
      <c r="J33" s="695"/>
      <c r="K33" s="695"/>
      <c r="L33" s="695"/>
      <c r="M33" s="695"/>
      <c r="N33" s="695"/>
      <c r="O33" s="695"/>
      <c r="P33" s="695"/>
      <c r="Q33" s="696"/>
      <c r="R33" s="697"/>
      <c r="S33" s="698"/>
      <c r="T33" s="804"/>
      <c r="U33" s="810">
        <f t="shared" si="12"/>
        <v>0</v>
      </c>
      <c r="V33" s="703"/>
      <c r="W33" s="703"/>
      <c r="X33" s="673"/>
      <c r="Z33" s="741"/>
    </row>
    <row r="34" spans="1:26" s="699" customFormat="1" ht="18.75" customHeight="1" x14ac:dyDescent="0.15">
      <c r="A34" s="835"/>
      <c r="B34" s="655"/>
      <c r="C34" s="574"/>
      <c r="D34" s="712" t="s">
        <v>1456</v>
      </c>
      <c r="E34" s="736"/>
      <c r="F34" s="712" t="s">
        <v>1469</v>
      </c>
      <c r="G34" s="737" t="s">
        <v>350</v>
      </c>
      <c r="H34" s="139">
        <v>37.5</v>
      </c>
      <c r="I34" s="702" t="str">
        <f>CONCATENATE(D34,F34,G34)</f>
        <v>벽체 철거구조부 철거㎡</v>
      </c>
      <c r="J34" s="454">
        <f>IF($G34="인","",VLOOKUP($I:$I,목록!$A:$M,8,FALSE))</f>
        <v>587</v>
      </c>
      <c r="K34" s="454">
        <f>IF(J34="","",TRUNC(J34*$H34,0))</f>
        <v>22012</v>
      </c>
      <c r="L34" s="454">
        <f>IF($G34="인","",VLOOKUP($I:$I,목록!$A:$M,9,FALSE))</f>
        <v>11748</v>
      </c>
      <c r="M34" s="454">
        <f>IF(L34="","",TRUNC(L34*$H34,0))</f>
        <v>440550</v>
      </c>
      <c r="N34" s="454" t="str">
        <f>IF($G34="인","",VLOOKUP($I:$I,목록!$A:$M,10,FALSE))</f>
        <v/>
      </c>
      <c r="O34" s="454" t="str">
        <f>IF(N34="","",TRUNC(N34*$H34,0))</f>
        <v/>
      </c>
      <c r="P34" s="454">
        <f>SUM(K34,M34,O34)</f>
        <v>462562</v>
      </c>
      <c r="Q34" s="194"/>
      <c r="R34" s="195" t="str">
        <f>"제"&amp;VLOOKUP($I:$I,목록!$A:$M,2,FALSE)&amp;"호표"</f>
        <v>제5호표</v>
      </c>
      <c r="S34" s="153"/>
      <c r="T34" s="804"/>
      <c r="U34" s="810">
        <f t="shared" si="12"/>
        <v>462562</v>
      </c>
      <c r="V34" s="701"/>
      <c r="W34" s="701"/>
      <c r="X34" s="673" t="s">
        <v>1239</v>
      </c>
      <c r="Z34" s="741"/>
    </row>
    <row r="35" spans="1:26" s="699" customFormat="1" ht="18.75" customHeight="1" x14ac:dyDescent="0.15">
      <c r="A35" s="835"/>
      <c r="B35" s="655"/>
      <c r="C35" s="574"/>
      <c r="D35" s="712" t="s">
        <v>1456</v>
      </c>
      <c r="E35" s="736"/>
      <c r="F35" s="712" t="s">
        <v>1457</v>
      </c>
      <c r="G35" s="737" t="s">
        <v>350</v>
      </c>
      <c r="H35" s="139">
        <v>37.5</v>
      </c>
      <c r="I35" s="702" t="str">
        <f t="shared" ref="I35" si="16">CONCATENATE(D35,F35,G35)</f>
        <v>벽체 철거판재류 철거㎡</v>
      </c>
      <c r="J35" s="454">
        <f>IF($G35="인","",VLOOKUP($I:$I,목록!$A:$M,8,FALSE))</f>
        <v>226</v>
      </c>
      <c r="K35" s="454">
        <f>IF(J35="","",TRUNC(J35*$H35,0))</f>
        <v>8475</v>
      </c>
      <c r="L35" s="454">
        <f>IF($G35="인","",VLOOKUP($I:$I,목록!$A:$M,9,FALSE))</f>
        <v>4538</v>
      </c>
      <c r="M35" s="454">
        <f>IF(L35="","",TRUNC(L35*$H35,0))</f>
        <v>170175</v>
      </c>
      <c r="N35" s="454" t="str">
        <f>IF($G35="인","",VLOOKUP($I:$I,목록!$A:$M,10,FALSE))</f>
        <v/>
      </c>
      <c r="O35" s="454" t="str">
        <f>IF(N35="","",TRUNC(N35*$H35,0))</f>
        <v/>
      </c>
      <c r="P35" s="454">
        <f t="shared" ref="P35" si="17">SUM(K35,M35,O35)</f>
        <v>178650</v>
      </c>
      <c r="Q35" s="194"/>
      <c r="R35" s="195" t="str">
        <f>"제"&amp;VLOOKUP($I:$I,목록!$A:$M,2,FALSE)&amp;"호표"</f>
        <v>제6호표</v>
      </c>
      <c r="S35" s="153"/>
      <c r="T35" s="804"/>
      <c r="U35" s="810">
        <f t="shared" si="12"/>
        <v>178650</v>
      </c>
      <c r="V35" s="703"/>
      <c r="W35" s="703"/>
      <c r="X35" s="673" t="s">
        <v>1239</v>
      </c>
      <c r="Z35" s="741"/>
    </row>
    <row r="36" spans="1:26" s="699" customFormat="1" ht="18.75" customHeight="1" x14ac:dyDescent="0.15">
      <c r="A36" s="692"/>
      <c r="B36" s="710" t="s">
        <v>1478</v>
      </c>
      <c r="C36" s="693"/>
      <c r="D36" s="669" t="s">
        <v>1479</v>
      </c>
      <c r="E36" s="736"/>
      <c r="F36" s="669" t="s">
        <v>1481</v>
      </c>
      <c r="G36" s="737"/>
      <c r="H36" s="694">
        <v>0</v>
      </c>
      <c r="I36" s="702"/>
      <c r="J36" s="695"/>
      <c r="K36" s="695"/>
      <c r="L36" s="695"/>
      <c r="M36" s="695"/>
      <c r="N36" s="695"/>
      <c r="O36" s="695"/>
      <c r="P36" s="695"/>
      <c r="Q36" s="696"/>
      <c r="R36" s="697"/>
      <c r="S36" s="698"/>
      <c r="T36" s="804"/>
      <c r="U36" s="810">
        <f t="shared" si="12"/>
        <v>0</v>
      </c>
      <c r="V36" s="703"/>
      <c r="W36" s="703"/>
      <c r="X36" s="673"/>
      <c r="Z36" s="741"/>
    </row>
    <row r="37" spans="1:26" s="699" customFormat="1" ht="18.75" customHeight="1" x14ac:dyDescent="0.15">
      <c r="A37" s="691"/>
      <c r="B37" s="692"/>
      <c r="C37" s="693"/>
      <c r="D37" s="707" t="s">
        <v>1482</v>
      </c>
      <c r="E37" s="736"/>
      <c r="F37" s="707" t="s">
        <v>1483</v>
      </c>
      <c r="G37" s="737" t="s">
        <v>1266</v>
      </c>
      <c r="H37" s="139">
        <v>1</v>
      </c>
      <c r="I37" s="702" t="str">
        <f>CONCATENATE(D37,F37,G37)</f>
        <v>기존 집기류 철거SHOP/LIBRARY 집기외식</v>
      </c>
      <c r="J37" s="454">
        <f>IF(I37="인","",VLOOKUP($I:$I,단가!$A:$S,19,FALSE))</f>
        <v>1200000</v>
      </c>
      <c r="K37" s="454">
        <f>IF(J37="","",TRUNC(J37*$H37,0))</f>
        <v>1200000</v>
      </c>
      <c r="L37" s="454">
        <v>0</v>
      </c>
      <c r="M37" s="454">
        <f>IF(L37="","",TRUNC(L37*$H37,0))</f>
        <v>0</v>
      </c>
      <c r="N37" s="454">
        <v>0</v>
      </c>
      <c r="O37" s="454">
        <f>IF(N37="","",TRUNC(N37*$H37,0))</f>
        <v>0</v>
      </c>
      <c r="P37" s="454">
        <f t="shared" ref="P37" si="18">SUM(K37,M37,O37)</f>
        <v>1200000</v>
      </c>
      <c r="Q37" s="194"/>
      <c r="R37" s="195" t="str">
        <f>"단가"&amp;VLOOKUP($I:$I,단가!$A:$B,2,FALSE)&amp;"번"</f>
        <v>단가95번</v>
      </c>
      <c r="S37" s="698"/>
      <c r="T37" s="804"/>
      <c r="U37" s="810">
        <f t="shared" si="12"/>
        <v>1200000</v>
      </c>
      <c r="V37" s="703"/>
      <c r="W37" s="703"/>
      <c r="X37" s="673">
        <v>1</v>
      </c>
      <c r="Z37" s="741"/>
    </row>
    <row r="38" spans="1:26" s="699" customFormat="1" ht="18.75" customHeight="1" x14ac:dyDescent="0.15">
      <c r="A38" s="691"/>
      <c r="B38" s="692"/>
      <c r="C38" s="693"/>
      <c r="D38" s="707"/>
      <c r="E38" s="736"/>
      <c r="F38" s="707"/>
      <c r="G38" s="737"/>
      <c r="H38" s="139">
        <v>0</v>
      </c>
      <c r="I38" s="702"/>
      <c r="J38" s="454"/>
      <c r="K38" s="454"/>
      <c r="L38" s="454"/>
      <c r="M38" s="454"/>
      <c r="N38" s="454"/>
      <c r="O38" s="454"/>
      <c r="P38" s="454"/>
      <c r="Q38" s="194"/>
      <c r="R38" s="195"/>
      <c r="S38" s="698"/>
      <c r="T38" s="804"/>
      <c r="U38" s="810">
        <f t="shared" si="12"/>
        <v>0</v>
      </c>
      <c r="V38" s="703"/>
      <c r="W38" s="703"/>
      <c r="X38" s="673"/>
      <c r="Z38" s="741"/>
    </row>
    <row r="39" spans="1:26" s="699" customFormat="1" ht="18.75" customHeight="1" x14ac:dyDescent="0.15">
      <c r="A39" s="691"/>
      <c r="B39" s="692"/>
      <c r="C39" s="693"/>
      <c r="D39" s="707"/>
      <c r="E39" s="736"/>
      <c r="F39" s="707"/>
      <c r="G39" s="737"/>
      <c r="H39" s="139">
        <v>0</v>
      </c>
      <c r="I39" s="702"/>
      <c r="J39" s="454"/>
      <c r="K39" s="454"/>
      <c r="L39" s="454"/>
      <c r="M39" s="454"/>
      <c r="N39" s="454"/>
      <c r="O39" s="454"/>
      <c r="P39" s="454"/>
      <c r="Q39" s="194"/>
      <c r="R39" s="195"/>
      <c r="S39" s="698"/>
      <c r="T39" s="804"/>
      <c r="U39" s="810">
        <f t="shared" si="12"/>
        <v>0</v>
      </c>
      <c r="V39" s="703"/>
      <c r="W39" s="703"/>
      <c r="X39" s="673"/>
      <c r="Z39" s="741"/>
    </row>
    <row r="40" spans="1:26" s="699" customFormat="1" ht="18.75" customHeight="1" x14ac:dyDescent="0.15">
      <c r="A40" s="691"/>
      <c r="B40" s="692"/>
      <c r="C40" s="693"/>
      <c r="D40" s="707"/>
      <c r="E40" s="736"/>
      <c r="F40" s="707"/>
      <c r="G40" s="737"/>
      <c r="H40" s="139">
        <v>0</v>
      </c>
      <c r="I40" s="702"/>
      <c r="J40" s="454"/>
      <c r="K40" s="454"/>
      <c r="L40" s="454"/>
      <c r="M40" s="454"/>
      <c r="N40" s="454"/>
      <c r="O40" s="454"/>
      <c r="P40" s="454"/>
      <c r="Q40" s="194"/>
      <c r="R40" s="195"/>
      <c r="S40" s="698"/>
      <c r="T40" s="804"/>
      <c r="U40" s="810">
        <f t="shared" si="12"/>
        <v>0</v>
      </c>
      <c r="V40" s="703"/>
      <c r="W40" s="703"/>
      <c r="X40" s="673"/>
      <c r="Z40" s="741"/>
    </row>
    <row r="41" spans="1:26" s="699" customFormat="1" ht="18.75" customHeight="1" x14ac:dyDescent="0.15">
      <c r="A41" s="691"/>
      <c r="B41" s="692"/>
      <c r="C41" s="693"/>
      <c r="D41" s="707"/>
      <c r="E41" s="736"/>
      <c r="F41" s="707"/>
      <c r="G41" s="737"/>
      <c r="H41" s="139">
        <v>0</v>
      </c>
      <c r="I41" s="702"/>
      <c r="J41" s="454"/>
      <c r="K41" s="454"/>
      <c r="L41" s="454"/>
      <c r="M41" s="454"/>
      <c r="N41" s="454"/>
      <c r="O41" s="454"/>
      <c r="P41" s="454"/>
      <c r="Q41" s="194"/>
      <c r="R41" s="195"/>
      <c r="S41" s="698"/>
      <c r="T41" s="804"/>
      <c r="U41" s="810">
        <f t="shared" si="12"/>
        <v>0</v>
      </c>
      <c r="V41" s="703"/>
      <c r="W41" s="703"/>
      <c r="X41" s="673"/>
      <c r="Z41" s="741"/>
    </row>
    <row r="42" spans="1:26" s="699" customFormat="1" ht="18.75" customHeight="1" x14ac:dyDescent="0.15">
      <c r="A42" s="691"/>
      <c r="B42" s="692"/>
      <c r="C42" s="693"/>
      <c r="D42" s="707"/>
      <c r="E42" s="736"/>
      <c r="F42" s="707"/>
      <c r="G42" s="737"/>
      <c r="H42" s="139">
        <v>0</v>
      </c>
      <c r="I42" s="702"/>
      <c r="J42" s="454"/>
      <c r="K42" s="454"/>
      <c r="L42" s="454"/>
      <c r="M42" s="454"/>
      <c r="N42" s="454"/>
      <c r="O42" s="454"/>
      <c r="P42" s="454"/>
      <c r="Q42" s="194"/>
      <c r="R42" s="195"/>
      <c r="S42" s="698"/>
      <c r="T42" s="804"/>
      <c r="U42" s="810">
        <f t="shared" si="12"/>
        <v>0</v>
      </c>
      <c r="V42" s="703"/>
      <c r="W42" s="703"/>
      <c r="X42" s="673"/>
      <c r="Z42" s="741"/>
    </row>
    <row r="43" spans="1:26" s="699" customFormat="1" ht="18.75" customHeight="1" x14ac:dyDescent="0.15">
      <c r="A43" s="691"/>
      <c r="B43" s="692"/>
      <c r="C43" s="693"/>
      <c r="D43" s="707"/>
      <c r="E43" s="736"/>
      <c r="F43" s="707"/>
      <c r="G43" s="737"/>
      <c r="H43" s="139">
        <v>0</v>
      </c>
      <c r="I43" s="702"/>
      <c r="J43" s="454"/>
      <c r="K43" s="454"/>
      <c r="L43" s="454"/>
      <c r="M43" s="454"/>
      <c r="N43" s="454"/>
      <c r="O43" s="454"/>
      <c r="P43" s="454"/>
      <c r="Q43" s="194"/>
      <c r="R43" s="195"/>
      <c r="S43" s="698"/>
      <c r="T43" s="804"/>
      <c r="U43" s="810">
        <f t="shared" si="12"/>
        <v>0</v>
      </c>
      <c r="V43" s="703"/>
      <c r="W43" s="703"/>
      <c r="X43" s="673"/>
      <c r="Z43" s="741"/>
    </row>
    <row r="44" spans="1:26" s="598" customFormat="1" ht="18.95" customHeight="1" x14ac:dyDescent="0.15">
      <c r="A44" s="587"/>
      <c r="B44" s="588"/>
      <c r="C44" s="589" t="s">
        <v>346</v>
      </c>
      <c r="D44" s="720"/>
      <c r="E44" s="590"/>
      <c r="F44" s="591"/>
      <c r="G44" s="592"/>
      <c r="H44" s="593">
        <v>0</v>
      </c>
      <c r="I44" s="656" t="str">
        <f>D28</f>
        <v>철거</v>
      </c>
      <c r="J44" s="594"/>
      <c r="K44" s="594">
        <f>SUM(K28:K43)</f>
        <v>1346072</v>
      </c>
      <c r="L44" s="594"/>
      <c r="M44" s="594">
        <f>SUM(M28:M43)</f>
        <v>923085</v>
      </c>
      <c r="N44" s="594"/>
      <c r="O44" s="594">
        <f>SUM(O28:O43)</f>
        <v>0</v>
      </c>
      <c r="P44" s="594">
        <f>SUM(K44,M44,O44)</f>
        <v>2269157</v>
      </c>
      <c r="Q44" s="595"/>
      <c r="R44" s="596"/>
      <c r="S44" s="597"/>
      <c r="T44" s="808"/>
      <c r="U44" s="810">
        <f t="shared" si="12"/>
        <v>0</v>
      </c>
      <c r="V44" s="703" t="s">
        <v>346</v>
      </c>
      <c r="W44" s="703">
        <f>A28</f>
        <v>2</v>
      </c>
      <c r="X44" s="673">
        <v>0</v>
      </c>
      <c r="Z44" s="742"/>
    </row>
    <row r="45" spans="1:26" s="699" customFormat="1" ht="18.75" customHeight="1" x14ac:dyDescent="0.15">
      <c r="A45" s="793" t="str">
        <f>집계!A22</f>
        <v>※</v>
      </c>
      <c r="B45" s="655"/>
      <c r="C45" s="574"/>
      <c r="D45" s="669" t="str">
        <f>집계!D22</f>
        <v>폐기물처리비</v>
      </c>
      <c r="E45" s="670"/>
      <c r="F45" s="669"/>
      <c r="G45" s="207"/>
      <c r="H45" s="139">
        <v>0</v>
      </c>
      <c r="I45" s="702"/>
      <c r="J45" s="454"/>
      <c r="K45" s="454"/>
      <c r="L45" s="454"/>
      <c r="M45" s="454"/>
      <c r="N45" s="454"/>
      <c r="O45" s="454"/>
      <c r="P45" s="454"/>
      <c r="Q45" s="194"/>
      <c r="R45" s="195"/>
      <c r="S45" s="153"/>
      <c r="T45" s="804"/>
      <c r="U45" s="810">
        <f t="shared" si="12"/>
        <v>0</v>
      </c>
      <c r="V45" s="703"/>
      <c r="W45" s="703"/>
      <c r="X45" s="673"/>
      <c r="Z45" s="741"/>
    </row>
    <row r="46" spans="1:26" s="699" customFormat="1" ht="18.75" customHeight="1" x14ac:dyDescent="0.15">
      <c r="A46" s="691"/>
      <c r="B46" s="692"/>
      <c r="C46" s="693"/>
      <c r="D46" s="707" t="s">
        <v>529</v>
      </c>
      <c r="E46" s="736"/>
      <c r="F46" s="707" t="s">
        <v>530</v>
      </c>
      <c r="G46" s="737" t="s">
        <v>505</v>
      </c>
      <c r="H46" s="139">
        <v>4.99</v>
      </c>
      <c r="I46" s="702" t="str">
        <f t="shared" ref="I46:I47" si="19">CONCATENATE(D46,F46,G46)</f>
        <v>폐자재 수집, 운반비30Km 이하ton</v>
      </c>
      <c r="J46" s="454">
        <f>IF(I46="인","",VLOOKUP($I:$I,단가!$A:$S,19,FALSE))</f>
        <v>40900</v>
      </c>
      <c r="K46" s="454">
        <f>IF(J46="","",TRUNC(J46*$H46,0))</f>
        <v>204091</v>
      </c>
      <c r="L46" s="454">
        <v>0</v>
      </c>
      <c r="M46" s="454">
        <f>IF(L46="","",TRUNC(L46*$H46,0))</f>
        <v>0</v>
      </c>
      <c r="N46" s="454">
        <v>0</v>
      </c>
      <c r="O46" s="454">
        <f>IF(N46="","",TRUNC(N46*$H46,0))</f>
        <v>0</v>
      </c>
      <c r="P46" s="454">
        <f t="shared" ref="P46:P47" si="20">SUM(K46,M46,O46)</f>
        <v>204091</v>
      </c>
      <c r="Q46" s="194"/>
      <c r="R46" s="195" t="str">
        <f>"단가"&amp;VLOOKUP($I:$I,단가!$A:$B,2,FALSE)&amp;"번"</f>
        <v>단가66번</v>
      </c>
      <c r="S46" s="698"/>
      <c r="T46" s="804"/>
      <c r="U46" s="810">
        <f t="shared" si="12"/>
        <v>204091</v>
      </c>
      <c r="V46" s="701"/>
      <c r="W46" s="701"/>
      <c r="X46" s="673" t="s">
        <v>1486</v>
      </c>
      <c r="Z46" s="741"/>
    </row>
    <row r="47" spans="1:26" s="699" customFormat="1" ht="18.75" customHeight="1" x14ac:dyDescent="0.15">
      <c r="A47" s="691"/>
      <c r="B47" s="692"/>
      <c r="C47" s="693"/>
      <c r="D47" s="707" t="s">
        <v>531</v>
      </c>
      <c r="E47" s="736"/>
      <c r="F47" s="707"/>
      <c r="G47" s="737" t="s">
        <v>505</v>
      </c>
      <c r="H47" s="139">
        <v>4.99</v>
      </c>
      <c r="I47" s="702" t="str">
        <f t="shared" si="19"/>
        <v>폐자재 처리비ton</v>
      </c>
      <c r="J47" s="454">
        <f>IF(I47="인","",VLOOKUP($I:$I,단가!$A:$S,19,FALSE))</f>
        <v>100800</v>
      </c>
      <c r="K47" s="454">
        <f>IF(J47="","",TRUNC(J47*$H47,0))</f>
        <v>502992</v>
      </c>
      <c r="L47" s="454">
        <v>0</v>
      </c>
      <c r="M47" s="454">
        <f>IF(L47="","",TRUNC(L47*$H47,0))</f>
        <v>0</v>
      </c>
      <c r="N47" s="454">
        <v>0</v>
      </c>
      <c r="O47" s="454">
        <f>IF(N47="","",TRUNC(N47*$H47,0))</f>
        <v>0</v>
      </c>
      <c r="P47" s="454">
        <f t="shared" si="20"/>
        <v>502992</v>
      </c>
      <c r="Q47" s="194"/>
      <c r="R47" s="195" t="str">
        <f>"단가"&amp;VLOOKUP($I:$I,단가!$A:$B,2,FALSE)&amp;"번"</f>
        <v>단가67번</v>
      </c>
      <c r="S47" s="698"/>
      <c r="T47" s="804"/>
      <c r="U47" s="810">
        <f t="shared" si="12"/>
        <v>502992</v>
      </c>
      <c r="V47" s="701"/>
      <c r="W47" s="701"/>
      <c r="X47" s="673" t="s">
        <v>1486</v>
      </c>
      <c r="Z47" s="741"/>
    </row>
    <row r="48" spans="1:26" s="699" customFormat="1" ht="18.75" customHeight="1" x14ac:dyDescent="0.15">
      <c r="A48" s="691"/>
      <c r="B48" s="692"/>
      <c r="C48" s="693"/>
      <c r="D48" s="707"/>
      <c r="E48" s="736"/>
      <c r="F48" s="707"/>
      <c r="G48" s="737"/>
      <c r="H48" s="139">
        <v>0</v>
      </c>
      <c r="I48" s="702"/>
      <c r="J48" s="695"/>
      <c r="K48" s="695"/>
      <c r="L48" s="695"/>
      <c r="M48" s="695"/>
      <c r="N48" s="695"/>
      <c r="O48" s="695"/>
      <c r="P48" s="695"/>
      <c r="Q48" s="696"/>
      <c r="R48" s="697"/>
      <c r="S48" s="698"/>
      <c r="T48" s="804"/>
      <c r="U48" s="810">
        <f t="shared" si="12"/>
        <v>0</v>
      </c>
      <c r="V48" s="703"/>
      <c r="W48" s="703"/>
      <c r="X48" s="673"/>
      <c r="Z48" s="741"/>
    </row>
    <row r="49" spans="1:26" s="598" customFormat="1" ht="18.95" customHeight="1" x14ac:dyDescent="0.15">
      <c r="A49" s="587"/>
      <c r="B49" s="588"/>
      <c r="C49" s="589" t="s">
        <v>346</v>
      </c>
      <c r="D49" s="720"/>
      <c r="E49" s="590"/>
      <c r="F49" s="591"/>
      <c r="G49" s="592"/>
      <c r="H49" s="593">
        <v>0</v>
      </c>
      <c r="I49" s="656" t="str">
        <f>D45</f>
        <v>폐기물처리비</v>
      </c>
      <c r="J49" s="594"/>
      <c r="K49" s="594">
        <f>SUM(K45:K48)</f>
        <v>707083</v>
      </c>
      <c r="L49" s="594"/>
      <c r="M49" s="594">
        <f>SUM(M45:M48)</f>
        <v>0</v>
      </c>
      <c r="N49" s="594"/>
      <c r="O49" s="594">
        <f>SUM(O45:O48)</f>
        <v>0</v>
      </c>
      <c r="P49" s="594">
        <f>SUM(K49,M49,O49)</f>
        <v>707083</v>
      </c>
      <c r="Q49" s="595"/>
      <c r="R49" s="596"/>
      <c r="S49" s="597"/>
      <c r="T49" s="808"/>
      <c r="U49" s="810">
        <f t="shared" si="12"/>
        <v>0</v>
      </c>
      <c r="V49" s="703" t="s">
        <v>346</v>
      </c>
      <c r="W49" s="703" t="str">
        <f>A45</f>
        <v>※</v>
      </c>
      <c r="X49" s="673">
        <v>0</v>
      </c>
      <c r="Z49" s="742"/>
    </row>
    <row r="50" spans="1:26" s="699" customFormat="1" ht="18.75" customHeight="1" x14ac:dyDescent="0.15">
      <c r="A50" s="706">
        <v>3</v>
      </c>
      <c r="B50" s="655"/>
      <c r="C50" s="574"/>
      <c r="D50" s="669" t="str">
        <f>집계!D8</f>
        <v>벽체</v>
      </c>
      <c r="E50" s="670"/>
      <c r="F50" s="669"/>
      <c r="G50" s="207"/>
      <c r="H50" s="139">
        <v>0</v>
      </c>
      <c r="I50" s="702"/>
      <c r="J50" s="454"/>
      <c r="K50" s="454"/>
      <c r="L50" s="454"/>
      <c r="M50" s="454"/>
      <c r="N50" s="454"/>
      <c r="O50" s="454"/>
      <c r="P50" s="454"/>
      <c r="Q50" s="194"/>
      <c r="R50" s="195"/>
      <c r="S50" s="153"/>
      <c r="T50" s="804"/>
      <c r="U50" s="810">
        <f t="shared" si="0"/>
        <v>0</v>
      </c>
      <c r="V50" s="703"/>
      <c r="W50" s="703"/>
      <c r="X50" s="673"/>
      <c r="Z50" s="741"/>
    </row>
    <row r="51" spans="1:26" s="699" customFormat="1" ht="18.75" customHeight="1" x14ac:dyDescent="0.15">
      <c r="A51" s="793"/>
      <c r="B51" s="747" t="s">
        <v>1453</v>
      </c>
      <c r="C51" s="574"/>
      <c r="D51" s="669" t="s">
        <v>1225</v>
      </c>
      <c r="E51" s="670"/>
      <c r="F51" s="669" t="s">
        <v>1233</v>
      </c>
      <c r="G51" s="207"/>
      <c r="H51" s="139">
        <v>0</v>
      </c>
      <c r="I51" s="702"/>
      <c r="J51" s="454"/>
      <c r="K51" s="454"/>
      <c r="L51" s="454"/>
      <c r="M51" s="454"/>
      <c r="N51" s="454"/>
      <c r="O51" s="454"/>
      <c r="P51" s="454"/>
      <c r="Q51" s="194"/>
      <c r="R51" s="195"/>
      <c r="S51" s="153"/>
      <c r="T51" s="804"/>
      <c r="U51" s="810">
        <f t="shared" si="0"/>
        <v>0</v>
      </c>
      <c r="V51" s="701"/>
      <c r="W51" s="701"/>
      <c r="X51" s="673"/>
      <c r="Z51" s="741"/>
    </row>
    <row r="52" spans="1:26" s="699" customFormat="1" ht="18.75" customHeight="1" x14ac:dyDescent="0.15">
      <c r="A52" s="793"/>
      <c r="B52" s="655"/>
      <c r="C52" s="574"/>
      <c r="D52" s="669" t="s">
        <v>433</v>
      </c>
      <c r="E52" s="670"/>
      <c r="F52" s="669" t="s">
        <v>1223</v>
      </c>
      <c r="G52" s="207" t="s">
        <v>350</v>
      </c>
      <c r="H52" s="139">
        <v>56.25</v>
      </c>
      <c r="I52" s="702" t="str">
        <f>CONCATENATE(D52,F52,G52)</f>
        <v>각파이프구조틀30*30*1.4T(S),@450㎡</v>
      </c>
      <c r="J52" s="454">
        <f>IF($G52="인","",VLOOKUP($I:$I,목록!$A:$M,8,FALSE))</f>
        <v>12173</v>
      </c>
      <c r="K52" s="454">
        <f>IF(J52="","",TRUNC(J52*$H52,0))</f>
        <v>684731</v>
      </c>
      <c r="L52" s="454">
        <f>IF($G52="인","",VLOOKUP($I:$I,목록!$A:$M,9,FALSE))</f>
        <v>53614</v>
      </c>
      <c r="M52" s="454">
        <f>IF(L52="","",TRUNC(L52*$H52,0))</f>
        <v>3015787</v>
      </c>
      <c r="N52" s="454">
        <f>IF($G52="인","",VLOOKUP($I:$I,목록!$A:$M,10,FALSE))</f>
        <v>78</v>
      </c>
      <c r="O52" s="454">
        <f>IF(N52="","",TRUNC(N52*$H52,0))</f>
        <v>4387</v>
      </c>
      <c r="P52" s="454">
        <f>SUM(K52,M52,O52)</f>
        <v>3704905</v>
      </c>
      <c r="Q52" s="194"/>
      <c r="R52" s="195" t="str">
        <f>"제"&amp;VLOOKUP($I:$I,목록!$A:$M,2,FALSE)&amp;"호표"</f>
        <v>제21호표</v>
      </c>
      <c r="S52" s="153"/>
      <c r="T52" s="804"/>
      <c r="U52" s="810">
        <f t="shared" si="0"/>
        <v>3704906</v>
      </c>
      <c r="V52" s="701"/>
      <c r="W52" s="701"/>
      <c r="X52" s="673" t="s">
        <v>1432</v>
      </c>
      <c r="Z52" s="741"/>
    </row>
    <row r="53" spans="1:26" s="699" customFormat="1" ht="18.75" customHeight="1" x14ac:dyDescent="0.15">
      <c r="A53" s="815"/>
      <c r="B53" s="655"/>
      <c r="C53" s="574"/>
      <c r="D53" s="629" t="s">
        <v>999</v>
      </c>
      <c r="E53" s="670"/>
      <c r="F53" s="629" t="s">
        <v>1224</v>
      </c>
      <c r="G53" s="207" t="s">
        <v>726</v>
      </c>
      <c r="H53" s="139">
        <v>37.5</v>
      </c>
      <c r="I53" s="702" t="str">
        <f t="shared" ref="I53:I55" si="21">CONCATENATE(D53,F53,G53)</f>
        <v>석고보드취부(벽)THK=9.5mm * 2PLY㎡</v>
      </c>
      <c r="J53" s="454">
        <f>IF($G53="인","",VLOOKUP($I:$I,목록!$A:$M,8,FALSE))</f>
        <v>5668</v>
      </c>
      <c r="K53" s="454">
        <f t="shared" ref="K53:K55" si="22">IF(J53="","",TRUNC(J53*$H53,0))</f>
        <v>212550</v>
      </c>
      <c r="L53" s="454">
        <f>IF($G53="인","",VLOOKUP($I:$I,목록!$A:$M,9,FALSE))</f>
        <v>13991</v>
      </c>
      <c r="M53" s="454">
        <f t="shared" ref="M53:M55" si="23">IF(L53="","",TRUNC(L53*$H53,0))</f>
        <v>524662</v>
      </c>
      <c r="N53" s="454" t="str">
        <f>IF($G53="인","",VLOOKUP($I:$I,목록!$A:$M,10,FALSE))</f>
        <v/>
      </c>
      <c r="O53" s="454" t="str">
        <f t="shared" ref="O53:O55" si="24">IF(N53="","",TRUNC(N53*$H53,0))</f>
        <v/>
      </c>
      <c r="P53" s="454">
        <f t="shared" ref="P53:P55" si="25">SUM(K53,M53,O53)</f>
        <v>737212</v>
      </c>
      <c r="Q53" s="194"/>
      <c r="R53" s="195" t="str">
        <f>"제"&amp;VLOOKUP($I:$I,목록!$A:$M,2,FALSE)&amp;"호표"</f>
        <v>제30호표</v>
      </c>
      <c r="S53" s="153"/>
      <c r="T53" s="804"/>
      <c r="U53" s="810">
        <f t="shared" si="0"/>
        <v>737212</v>
      </c>
      <c r="V53" s="703"/>
      <c r="W53" s="703"/>
      <c r="X53" s="673" t="s">
        <v>1239</v>
      </c>
      <c r="Z53" s="741"/>
    </row>
    <row r="54" spans="1:26" s="699" customFormat="1" ht="18.75" customHeight="1" x14ac:dyDescent="0.15">
      <c r="A54" s="815"/>
      <c r="B54" s="655"/>
      <c r="C54" s="574"/>
      <c r="D54" s="712" t="s">
        <v>1221</v>
      </c>
      <c r="E54" s="736"/>
      <c r="F54" s="712" t="s">
        <v>1222</v>
      </c>
      <c r="G54" s="737" t="s">
        <v>350</v>
      </c>
      <c r="H54" s="139">
        <v>34.090000000000003</v>
      </c>
      <c r="I54" s="702" t="str">
        <f t="shared" si="21"/>
        <v>지정타일 붙이기THK=5mm, 벽,압착붙임기준㎡</v>
      </c>
      <c r="J54" s="454">
        <f>IF($G54="인","",VLOOKUP($I:$I,목록!$A:$M,8,FALSE))</f>
        <v>42196</v>
      </c>
      <c r="K54" s="454">
        <f t="shared" si="22"/>
        <v>1438461</v>
      </c>
      <c r="L54" s="454">
        <f>IF($G54="인","",VLOOKUP($I:$I,목록!$A:$M,9,FALSE))</f>
        <v>41749</v>
      </c>
      <c r="M54" s="454">
        <f t="shared" si="23"/>
        <v>1423223</v>
      </c>
      <c r="N54" s="454" t="str">
        <f>IF($G54="인","",VLOOKUP($I:$I,목록!$A:$M,10,FALSE))</f>
        <v/>
      </c>
      <c r="O54" s="454" t="str">
        <f t="shared" si="24"/>
        <v/>
      </c>
      <c r="P54" s="454">
        <f t="shared" si="25"/>
        <v>2861684</v>
      </c>
      <c r="Q54" s="194"/>
      <c r="R54" s="195" t="str">
        <f>"제"&amp;VLOOKUP($I:$I,목록!$A:$M,2,FALSE)&amp;"호표"</f>
        <v>제7호표</v>
      </c>
      <c r="S54" s="153"/>
      <c r="T54" s="804"/>
      <c r="U54" s="810">
        <f t="shared" si="0"/>
        <v>2861685</v>
      </c>
      <c r="V54" s="703"/>
      <c r="W54" s="703"/>
      <c r="X54" s="673" t="s">
        <v>1240</v>
      </c>
      <c r="Z54" s="741"/>
    </row>
    <row r="55" spans="1:26" s="699" customFormat="1" ht="18.75" customHeight="1" x14ac:dyDescent="0.15">
      <c r="A55" s="815"/>
      <c r="B55" s="655"/>
      <c r="C55" s="574"/>
      <c r="D55" s="629" t="s">
        <v>993</v>
      </c>
      <c r="E55" s="670"/>
      <c r="F55" s="629" t="s">
        <v>1235</v>
      </c>
      <c r="G55" s="207" t="s">
        <v>738</v>
      </c>
      <c r="H55" s="139">
        <v>12.5</v>
      </c>
      <c r="I55" s="702" t="str">
        <f t="shared" si="21"/>
        <v>걸레받이H=100, 지정도장마감m</v>
      </c>
      <c r="J55" s="454">
        <f>IF($G55="인","",VLOOKUP($I:$I,목록!$A:$M,8,FALSE))</f>
        <v>964</v>
      </c>
      <c r="K55" s="454">
        <f t="shared" si="22"/>
        <v>12050</v>
      </c>
      <c r="L55" s="454">
        <f>IF($G55="인","",VLOOKUP($I:$I,목록!$A:$M,9,FALSE))</f>
        <v>4848</v>
      </c>
      <c r="M55" s="454">
        <f t="shared" si="23"/>
        <v>60600</v>
      </c>
      <c r="N55" s="454" t="str">
        <f>IF($G55="인","",VLOOKUP($I:$I,목록!$A:$M,10,FALSE))</f>
        <v/>
      </c>
      <c r="O55" s="454" t="str">
        <f t="shared" si="24"/>
        <v/>
      </c>
      <c r="P55" s="454">
        <f t="shared" si="25"/>
        <v>72650</v>
      </c>
      <c r="Q55" s="194"/>
      <c r="R55" s="195" t="str">
        <f>"제"&amp;VLOOKUP($I:$I,목록!$A:$M,2,FALSE)&amp;"호표"</f>
        <v>제15호표</v>
      </c>
      <c r="S55" s="153"/>
      <c r="T55" s="804"/>
      <c r="U55" s="810">
        <f t="shared" si="0"/>
        <v>72650</v>
      </c>
      <c r="V55" s="703"/>
      <c r="W55" s="703"/>
      <c r="X55" s="673">
        <v>12.5</v>
      </c>
      <c r="Z55" s="741"/>
    </row>
    <row r="56" spans="1:26" s="699" customFormat="1" ht="18.75" customHeight="1" x14ac:dyDescent="0.15">
      <c r="A56" s="815"/>
      <c r="B56" s="747" t="s">
        <v>1454</v>
      </c>
      <c r="C56" s="574"/>
      <c r="D56" s="669" t="s">
        <v>1243</v>
      </c>
      <c r="E56" s="670"/>
      <c r="F56" s="669" t="s">
        <v>1234</v>
      </c>
      <c r="G56" s="207"/>
      <c r="H56" s="139">
        <v>0</v>
      </c>
      <c r="I56" s="702"/>
      <c r="J56" s="454"/>
      <c r="K56" s="454"/>
      <c r="L56" s="454"/>
      <c r="M56" s="454"/>
      <c r="N56" s="454"/>
      <c r="O56" s="454"/>
      <c r="P56" s="454"/>
      <c r="Q56" s="194"/>
      <c r="R56" s="195"/>
      <c r="S56" s="153"/>
      <c r="T56" s="804"/>
      <c r="U56" s="810">
        <f t="shared" si="0"/>
        <v>0</v>
      </c>
      <c r="V56" s="701"/>
      <c r="W56" s="701"/>
      <c r="X56" s="673"/>
      <c r="Z56" s="741"/>
    </row>
    <row r="57" spans="1:26" s="699" customFormat="1" ht="18.75" customHeight="1" x14ac:dyDescent="0.15">
      <c r="A57" s="793"/>
      <c r="B57" s="655"/>
      <c r="C57" s="574"/>
      <c r="D57" s="794" t="s">
        <v>1232</v>
      </c>
      <c r="E57" s="795"/>
      <c r="F57" s="794" t="s">
        <v>1226</v>
      </c>
      <c r="G57" s="796" t="s">
        <v>350</v>
      </c>
      <c r="H57" s="139">
        <v>36.6</v>
      </c>
      <c r="I57" s="702" t="str">
        <f t="shared" ref="I57:I62" si="26">CONCATENATE(D57,F57,G57)</f>
        <v>각재 벽체틀설치30x69, @450㎡</v>
      </c>
      <c r="J57" s="454">
        <f>IF($G57="인","",VLOOKUP($I:$I,목록!$A:$M,8,FALSE))</f>
        <v>16452</v>
      </c>
      <c r="K57" s="454">
        <f t="shared" ref="K57:K62" si="27">IF(J57="","",TRUNC(J57*$H57,0))</f>
        <v>602143</v>
      </c>
      <c r="L57" s="454">
        <f>IF($G57="인","",VLOOKUP($I:$I,목록!$A:$M,9,FALSE))</f>
        <v>5899</v>
      </c>
      <c r="M57" s="454">
        <f t="shared" ref="M57:M62" si="28">IF(L57="","",TRUNC(L57*$H57,0))</f>
        <v>215903</v>
      </c>
      <c r="N57" s="454" t="str">
        <f>IF($G57="인","",VLOOKUP($I:$I,목록!$A:$M,10,FALSE))</f>
        <v/>
      </c>
      <c r="O57" s="454" t="str">
        <f t="shared" ref="O57:O62" si="29">IF(N57="","",TRUNC(N57*$H57,0))</f>
        <v/>
      </c>
      <c r="P57" s="454">
        <f t="shared" ref="P57:P62" si="30">SUM(K57,M57,O57)</f>
        <v>818046</v>
      </c>
      <c r="Q57" s="194"/>
      <c r="R57" s="195" t="str">
        <f>"제"&amp;VLOOKUP($I:$I,목록!$A:$M,2,FALSE)&amp;"호표"</f>
        <v>제8호표</v>
      </c>
      <c r="S57" s="153"/>
      <c r="T57" s="804"/>
      <c r="U57" s="810">
        <f t="shared" si="0"/>
        <v>818046</v>
      </c>
      <c r="V57" s="701"/>
      <c r="W57" s="701"/>
      <c r="X57" s="673" t="s">
        <v>1241</v>
      </c>
      <c r="Z57" s="741"/>
    </row>
    <row r="58" spans="1:26" s="699" customFormat="1" ht="18.75" customHeight="1" x14ac:dyDescent="0.15">
      <c r="A58" s="815"/>
      <c r="B58" s="655"/>
      <c r="C58" s="574"/>
      <c r="D58" s="629" t="s">
        <v>999</v>
      </c>
      <c r="E58" s="670"/>
      <c r="F58" s="629" t="s">
        <v>1224</v>
      </c>
      <c r="G58" s="207" t="s">
        <v>726</v>
      </c>
      <c r="H58" s="139">
        <v>36.6</v>
      </c>
      <c r="I58" s="702" t="str">
        <f t="shared" si="26"/>
        <v>석고보드취부(벽)THK=9.5mm * 2PLY㎡</v>
      </c>
      <c r="J58" s="454">
        <f>IF($G58="인","",VLOOKUP($I:$I,목록!$A:$M,8,FALSE))</f>
        <v>5668</v>
      </c>
      <c r="K58" s="454">
        <f t="shared" si="27"/>
        <v>207448</v>
      </c>
      <c r="L58" s="454">
        <f>IF($G58="인","",VLOOKUP($I:$I,목록!$A:$M,9,FALSE))</f>
        <v>13991</v>
      </c>
      <c r="M58" s="454">
        <f t="shared" si="28"/>
        <v>512070</v>
      </c>
      <c r="N58" s="454" t="str">
        <f>IF($G58="인","",VLOOKUP($I:$I,목록!$A:$M,10,FALSE))</f>
        <v/>
      </c>
      <c r="O58" s="454" t="str">
        <f t="shared" si="29"/>
        <v/>
      </c>
      <c r="P58" s="454">
        <f t="shared" si="30"/>
        <v>719518</v>
      </c>
      <c r="Q58" s="194"/>
      <c r="R58" s="195" t="str">
        <f>"제"&amp;VLOOKUP($I:$I,목록!$A:$M,2,FALSE)&amp;"호표"</f>
        <v>제30호표</v>
      </c>
      <c r="S58" s="153"/>
      <c r="T58" s="804"/>
      <c r="U58" s="810">
        <f t="shared" si="0"/>
        <v>719519</v>
      </c>
      <c r="V58" s="703"/>
      <c r="W58" s="703"/>
      <c r="X58" s="673" t="s">
        <v>1241</v>
      </c>
      <c r="Z58" s="741"/>
    </row>
    <row r="59" spans="1:26" s="699" customFormat="1" ht="18.75" customHeight="1" x14ac:dyDescent="0.15">
      <c r="A59" s="815"/>
      <c r="B59" s="655"/>
      <c r="C59" s="574"/>
      <c r="D59" s="669" t="s">
        <v>1082</v>
      </c>
      <c r="E59" s="670"/>
      <c r="F59" s="669" t="s">
        <v>1083</v>
      </c>
      <c r="G59" s="737" t="s">
        <v>350</v>
      </c>
      <c r="H59" s="139">
        <v>36.6</v>
      </c>
      <c r="I59" s="702" t="str">
        <f t="shared" si="26"/>
        <v>ALL PUTTY(벽체)석고보드면, 합판면㎡</v>
      </c>
      <c r="J59" s="454">
        <f>IF($G59="인","",VLOOKUP($I:$I,목록!$A:$M,8,FALSE))</f>
        <v>2130</v>
      </c>
      <c r="K59" s="454">
        <f t="shared" si="27"/>
        <v>77958</v>
      </c>
      <c r="L59" s="454">
        <f>IF($G59="인","",VLOOKUP($I:$I,목록!$A:$M,9,FALSE))</f>
        <v>11734</v>
      </c>
      <c r="M59" s="454">
        <f t="shared" si="28"/>
        <v>429464</v>
      </c>
      <c r="N59" s="454" t="str">
        <f>IF($G59="인","",VLOOKUP($I:$I,목록!$A:$M,10,FALSE))</f>
        <v/>
      </c>
      <c r="O59" s="454" t="str">
        <f t="shared" si="29"/>
        <v/>
      </c>
      <c r="P59" s="454">
        <f t="shared" si="30"/>
        <v>507422</v>
      </c>
      <c r="Q59" s="194"/>
      <c r="R59" s="195" t="str">
        <f>"제"&amp;VLOOKUP($I:$I,목록!$A:$M,2,FALSE)&amp;"호표"</f>
        <v>제37호표</v>
      </c>
      <c r="S59" s="153"/>
      <c r="T59" s="804"/>
      <c r="U59" s="810">
        <f t="shared" si="0"/>
        <v>507422</v>
      </c>
      <c r="V59" s="703"/>
      <c r="W59" s="703"/>
      <c r="X59" s="673" t="s">
        <v>1241</v>
      </c>
      <c r="Z59" s="741"/>
    </row>
    <row r="60" spans="1:26" s="699" customFormat="1" ht="18.75" customHeight="1" x14ac:dyDescent="0.15">
      <c r="A60" s="815"/>
      <c r="B60" s="655"/>
      <c r="C60" s="574"/>
      <c r="D60" s="629" t="s">
        <v>1005</v>
      </c>
      <c r="E60" s="456"/>
      <c r="F60" s="629" t="s">
        <v>578</v>
      </c>
      <c r="G60" s="207" t="s">
        <v>987</v>
      </c>
      <c r="H60" s="139">
        <v>36.6</v>
      </c>
      <c r="I60" s="702" t="str">
        <f t="shared" si="26"/>
        <v>수성페인트(로울러)내벽3회㎡</v>
      </c>
      <c r="J60" s="454">
        <f>IF($G60="인","",VLOOKUP($I:$I,목록!$A:$M,8,FALSE))</f>
        <v>2458</v>
      </c>
      <c r="K60" s="454">
        <f t="shared" si="27"/>
        <v>89962</v>
      </c>
      <c r="L60" s="454">
        <f>IF($G60="인","",VLOOKUP($I:$I,목록!$A:$M,9,FALSE))</f>
        <v>9293</v>
      </c>
      <c r="M60" s="454">
        <f t="shared" si="28"/>
        <v>340123</v>
      </c>
      <c r="N60" s="454" t="str">
        <f>IF($G60="인","",VLOOKUP($I:$I,목록!$A:$M,10,FALSE))</f>
        <v/>
      </c>
      <c r="O60" s="454" t="str">
        <f t="shared" si="29"/>
        <v/>
      </c>
      <c r="P60" s="454">
        <f t="shared" si="30"/>
        <v>430085</v>
      </c>
      <c r="Q60" s="194"/>
      <c r="R60" s="195" t="str">
        <f>"제"&amp;VLOOKUP($I:$I,목록!$A:$M,2,FALSE)&amp;"호표"</f>
        <v>제45호표</v>
      </c>
      <c r="S60" s="153"/>
      <c r="T60" s="804"/>
      <c r="U60" s="810">
        <f t="shared" si="0"/>
        <v>430086</v>
      </c>
      <c r="V60" s="703"/>
      <c r="W60" s="703"/>
      <c r="X60" s="673" t="s">
        <v>1241</v>
      </c>
      <c r="Z60" s="741"/>
    </row>
    <row r="61" spans="1:26" s="699" customFormat="1" ht="18.75" customHeight="1" x14ac:dyDescent="0.15">
      <c r="A61" s="815"/>
      <c r="B61" s="655"/>
      <c r="C61" s="574"/>
      <c r="D61" s="629" t="s">
        <v>993</v>
      </c>
      <c r="E61" s="670"/>
      <c r="F61" s="629" t="s">
        <v>1235</v>
      </c>
      <c r="G61" s="207" t="s">
        <v>738</v>
      </c>
      <c r="H61" s="139">
        <v>9.15</v>
      </c>
      <c r="I61" s="702" t="str">
        <f t="shared" si="26"/>
        <v>걸레받이H=100, 지정도장마감m</v>
      </c>
      <c r="J61" s="454">
        <f>IF($G61="인","",VLOOKUP($I:$I,목록!$A:$M,8,FALSE))</f>
        <v>964</v>
      </c>
      <c r="K61" s="454">
        <f t="shared" si="27"/>
        <v>8820</v>
      </c>
      <c r="L61" s="454">
        <f>IF($G61="인","",VLOOKUP($I:$I,목록!$A:$M,9,FALSE))</f>
        <v>4848</v>
      </c>
      <c r="M61" s="454">
        <f t="shared" si="28"/>
        <v>44359</v>
      </c>
      <c r="N61" s="454" t="str">
        <f>IF($G61="인","",VLOOKUP($I:$I,목록!$A:$M,10,FALSE))</f>
        <v/>
      </c>
      <c r="O61" s="454" t="str">
        <f t="shared" si="29"/>
        <v/>
      </c>
      <c r="P61" s="454">
        <f t="shared" si="30"/>
        <v>53179</v>
      </c>
      <c r="Q61" s="194"/>
      <c r="R61" s="195" t="str">
        <f>"제"&amp;VLOOKUP($I:$I,목록!$A:$M,2,FALSE)&amp;"호표"</f>
        <v>제15호표</v>
      </c>
      <c r="S61" s="153"/>
      <c r="T61" s="804"/>
      <c r="U61" s="810">
        <f t="shared" si="0"/>
        <v>53179</v>
      </c>
      <c r="V61" s="703"/>
      <c r="W61" s="703"/>
      <c r="X61" s="673" t="s">
        <v>1242</v>
      </c>
      <c r="Z61" s="741"/>
    </row>
    <row r="62" spans="1:26" s="699" customFormat="1" ht="18.75" customHeight="1" x14ac:dyDescent="0.15">
      <c r="A62" s="815"/>
      <c r="B62" s="655"/>
      <c r="C62" s="574"/>
      <c r="D62" s="629" t="s">
        <v>1236</v>
      </c>
      <c r="E62" s="670"/>
      <c r="F62" s="629" t="s">
        <v>1238</v>
      </c>
      <c r="G62" s="207" t="s">
        <v>1237</v>
      </c>
      <c r="H62" s="139">
        <v>9.15</v>
      </c>
      <c r="I62" s="702" t="str">
        <f t="shared" si="26"/>
        <v>액자걸이 FRMAE 매설지정사양, 설치포함m</v>
      </c>
      <c r="J62" s="454">
        <f>IF(I62="인","",VLOOKUP($I:$I,단가!$A:$S,19,FALSE))</f>
        <v>15000</v>
      </c>
      <c r="K62" s="454">
        <f t="shared" si="27"/>
        <v>137250</v>
      </c>
      <c r="L62" s="454">
        <v>0</v>
      </c>
      <c r="M62" s="454">
        <f t="shared" si="28"/>
        <v>0</v>
      </c>
      <c r="N62" s="454">
        <v>0</v>
      </c>
      <c r="O62" s="454">
        <f t="shared" si="29"/>
        <v>0</v>
      </c>
      <c r="P62" s="454">
        <f t="shared" si="30"/>
        <v>137250</v>
      </c>
      <c r="Q62" s="194"/>
      <c r="R62" s="195" t="str">
        <f>"단가"&amp;VLOOKUP($I:$I,단가!$A:$B,2,FALSE)&amp;"번"</f>
        <v>단가79번</v>
      </c>
      <c r="S62" s="153"/>
      <c r="T62" s="804"/>
      <c r="U62" s="810">
        <f t="shared" si="0"/>
        <v>137250</v>
      </c>
      <c r="V62" s="701"/>
      <c r="W62" s="701"/>
      <c r="X62" s="673" t="s">
        <v>1242</v>
      </c>
      <c r="Z62" s="741"/>
    </row>
    <row r="63" spans="1:26" s="699" customFormat="1" ht="18.75" customHeight="1" x14ac:dyDescent="0.15">
      <c r="A63" s="815"/>
      <c r="B63" s="747" t="s">
        <v>1455</v>
      </c>
      <c r="C63" s="574"/>
      <c r="D63" s="669" t="s">
        <v>1480</v>
      </c>
      <c r="E63" s="670"/>
      <c r="F63" s="669" t="s">
        <v>1256</v>
      </c>
      <c r="G63" s="207"/>
      <c r="H63" s="139">
        <v>0</v>
      </c>
      <c r="I63" s="702"/>
      <c r="J63" s="454"/>
      <c r="K63" s="454"/>
      <c r="L63" s="454"/>
      <c r="M63" s="454"/>
      <c r="N63" s="454"/>
      <c r="O63" s="454"/>
      <c r="P63" s="454"/>
      <c r="Q63" s="194"/>
      <c r="R63" s="195"/>
      <c r="S63" s="153"/>
      <c r="T63" s="804"/>
      <c r="U63" s="810">
        <f t="shared" si="0"/>
        <v>0</v>
      </c>
      <c r="V63" s="701"/>
      <c r="W63" s="701"/>
      <c r="X63" s="673"/>
      <c r="Z63" s="741"/>
    </row>
    <row r="64" spans="1:26" s="699" customFormat="1" ht="18.75" customHeight="1" x14ac:dyDescent="0.15">
      <c r="A64" s="815"/>
      <c r="B64" s="655"/>
      <c r="C64" s="574"/>
      <c r="D64" s="794" t="s">
        <v>1232</v>
      </c>
      <c r="E64" s="795"/>
      <c r="F64" s="794" t="s">
        <v>1244</v>
      </c>
      <c r="G64" s="796" t="s">
        <v>350</v>
      </c>
      <c r="H64" s="139">
        <v>47.2</v>
      </c>
      <c r="I64" s="702" t="str">
        <f t="shared" ref="I64:I68" si="31">CONCATENATE(D64,F64,G64)</f>
        <v>각재 벽체틀설치30x30, @450㎡</v>
      </c>
      <c r="J64" s="454">
        <f>IF($G64="인","",VLOOKUP($I:$I,목록!$A:$M,8,FALSE))</f>
        <v>7219</v>
      </c>
      <c r="K64" s="454">
        <f t="shared" ref="K64:K68" si="32">IF(J64="","",TRUNC(J64*$H64,0))</f>
        <v>340736</v>
      </c>
      <c r="L64" s="454">
        <f>IF($G64="인","",VLOOKUP($I:$I,목록!$A:$M,9,FALSE))</f>
        <v>5899</v>
      </c>
      <c r="M64" s="454">
        <f t="shared" ref="M64:M68" si="33">IF(L64="","",TRUNC(L64*$H64,0))</f>
        <v>278432</v>
      </c>
      <c r="N64" s="454" t="str">
        <f>IF($G64="인","",VLOOKUP($I:$I,목록!$A:$M,10,FALSE))</f>
        <v/>
      </c>
      <c r="O64" s="454" t="str">
        <f t="shared" ref="O64:O68" si="34">IF(N64="","",TRUNC(N64*$H64,0))</f>
        <v/>
      </c>
      <c r="P64" s="454">
        <f t="shared" ref="P64:P68" si="35">SUM(K64,M64,O64)</f>
        <v>619168</v>
      </c>
      <c r="Q64" s="194"/>
      <c r="R64" s="195" t="str">
        <f>"제"&amp;VLOOKUP($I:$I,목록!$A:$M,2,FALSE)&amp;"호표"</f>
        <v>제9호표</v>
      </c>
      <c r="S64" s="153"/>
      <c r="T64" s="804"/>
      <c r="U64" s="810">
        <f t="shared" si="0"/>
        <v>619169</v>
      </c>
      <c r="V64" s="701"/>
      <c r="W64" s="701"/>
      <c r="X64" s="673" t="s">
        <v>1246</v>
      </c>
      <c r="Z64" s="741"/>
    </row>
    <row r="65" spans="1:26" s="699" customFormat="1" ht="18.75" customHeight="1" x14ac:dyDescent="0.15">
      <c r="A65" s="815"/>
      <c r="B65" s="655"/>
      <c r="C65" s="574"/>
      <c r="D65" s="629" t="s">
        <v>999</v>
      </c>
      <c r="E65" s="670"/>
      <c r="F65" s="629" t="s">
        <v>1224</v>
      </c>
      <c r="G65" s="207" t="s">
        <v>726</v>
      </c>
      <c r="H65" s="139">
        <v>47.2</v>
      </c>
      <c r="I65" s="702" t="str">
        <f t="shared" si="31"/>
        <v>석고보드취부(벽)THK=9.5mm * 2PLY㎡</v>
      </c>
      <c r="J65" s="454">
        <f>IF($G65="인","",VLOOKUP($I:$I,목록!$A:$M,8,FALSE))</f>
        <v>5668</v>
      </c>
      <c r="K65" s="454">
        <f t="shared" si="32"/>
        <v>267529</v>
      </c>
      <c r="L65" s="454">
        <f>IF($G65="인","",VLOOKUP($I:$I,목록!$A:$M,9,FALSE))</f>
        <v>13991</v>
      </c>
      <c r="M65" s="454">
        <f t="shared" si="33"/>
        <v>660375</v>
      </c>
      <c r="N65" s="454" t="str">
        <f>IF($G65="인","",VLOOKUP($I:$I,목록!$A:$M,10,FALSE))</f>
        <v/>
      </c>
      <c r="O65" s="454" t="str">
        <f t="shared" si="34"/>
        <v/>
      </c>
      <c r="P65" s="454">
        <f t="shared" si="35"/>
        <v>927904</v>
      </c>
      <c r="Q65" s="194"/>
      <c r="R65" s="195" t="str">
        <f>"제"&amp;VLOOKUP($I:$I,목록!$A:$M,2,FALSE)&amp;"호표"</f>
        <v>제30호표</v>
      </c>
      <c r="S65" s="153"/>
      <c r="T65" s="804"/>
      <c r="U65" s="810">
        <f t="shared" si="0"/>
        <v>927904</v>
      </c>
      <c r="V65" s="703"/>
      <c r="W65" s="703"/>
      <c r="X65" s="673" t="s">
        <v>1246</v>
      </c>
      <c r="Z65" s="741"/>
    </row>
    <row r="66" spans="1:26" s="699" customFormat="1" ht="18.75" customHeight="1" x14ac:dyDescent="0.15">
      <c r="A66" s="815"/>
      <c r="B66" s="655"/>
      <c r="C66" s="574"/>
      <c r="D66" s="669" t="s">
        <v>1082</v>
      </c>
      <c r="E66" s="670"/>
      <c r="F66" s="669" t="s">
        <v>1083</v>
      </c>
      <c r="G66" s="737" t="s">
        <v>350</v>
      </c>
      <c r="H66" s="139">
        <v>47.2</v>
      </c>
      <c r="I66" s="702" t="str">
        <f t="shared" si="31"/>
        <v>ALL PUTTY(벽체)석고보드면, 합판면㎡</v>
      </c>
      <c r="J66" s="454">
        <f>IF($G66="인","",VLOOKUP($I:$I,목록!$A:$M,8,FALSE))</f>
        <v>2130</v>
      </c>
      <c r="K66" s="454">
        <f t="shared" si="32"/>
        <v>100536</v>
      </c>
      <c r="L66" s="454">
        <f>IF($G66="인","",VLOOKUP($I:$I,목록!$A:$M,9,FALSE))</f>
        <v>11734</v>
      </c>
      <c r="M66" s="454">
        <f t="shared" si="33"/>
        <v>553844</v>
      </c>
      <c r="N66" s="454" t="str">
        <f>IF($G66="인","",VLOOKUP($I:$I,목록!$A:$M,10,FALSE))</f>
        <v/>
      </c>
      <c r="O66" s="454" t="str">
        <f t="shared" si="34"/>
        <v/>
      </c>
      <c r="P66" s="454">
        <f t="shared" si="35"/>
        <v>654380</v>
      </c>
      <c r="Q66" s="194"/>
      <c r="R66" s="195" t="str">
        <f>"제"&amp;VLOOKUP($I:$I,목록!$A:$M,2,FALSE)&amp;"호표"</f>
        <v>제37호표</v>
      </c>
      <c r="S66" s="153"/>
      <c r="T66" s="804"/>
      <c r="U66" s="810">
        <f t="shared" si="0"/>
        <v>654380</v>
      </c>
      <c r="V66" s="703"/>
      <c r="W66" s="703"/>
      <c r="X66" s="673" t="s">
        <v>1246</v>
      </c>
      <c r="Z66" s="741"/>
    </row>
    <row r="67" spans="1:26" s="699" customFormat="1" ht="18.75" customHeight="1" x14ac:dyDescent="0.15">
      <c r="A67" s="815"/>
      <c r="B67" s="655"/>
      <c r="C67" s="574"/>
      <c r="D67" s="629" t="s">
        <v>1005</v>
      </c>
      <c r="E67" s="456"/>
      <c r="F67" s="629" t="s">
        <v>578</v>
      </c>
      <c r="G67" s="207" t="s">
        <v>987</v>
      </c>
      <c r="H67" s="139">
        <v>47.2</v>
      </c>
      <c r="I67" s="702" t="str">
        <f t="shared" si="31"/>
        <v>수성페인트(로울러)내벽3회㎡</v>
      </c>
      <c r="J67" s="454">
        <f>IF($G67="인","",VLOOKUP($I:$I,목록!$A:$M,8,FALSE))</f>
        <v>2458</v>
      </c>
      <c r="K67" s="454">
        <f t="shared" si="32"/>
        <v>116017</v>
      </c>
      <c r="L67" s="454">
        <f>IF($G67="인","",VLOOKUP($I:$I,목록!$A:$M,9,FALSE))</f>
        <v>9293</v>
      </c>
      <c r="M67" s="454">
        <f t="shared" si="33"/>
        <v>438629</v>
      </c>
      <c r="N67" s="454" t="str">
        <f>IF($G67="인","",VLOOKUP($I:$I,목록!$A:$M,10,FALSE))</f>
        <v/>
      </c>
      <c r="O67" s="454" t="str">
        <f t="shared" si="34"/>
        <v/>
      </c>
      <c r="P67" s="454">
        <f t="shared" si="35"/>
        <v>554646</v>
      </c>
      <c r="Q67" s="194"/>
      <c r="R67" s="195" t="str">
        <f>"제"&amp;VLOOKUP($I:$I,목록!$A:$M,2,FALSE)&amp;"호표"</f>
        <v>제45호표</v>
      </c>
      <c r="S67" s="153"/>
      <c r="T67" s="804"/>
      <c r="U67" s="810">
        <f t="shared" si="0"/>
        <v>554647</v>
      </c>
      <c r="V67" s="703"/>
      <c r="W67" s="703"/>
      <c r="X67" s="673" t="s">
        <v>1246</v>
      </c>
      <c r="Z67" s="741"/>
    </row>
    <row r="68" spans="1:26" s="699" customFormat="1" ht="18.75" customHeight="1" x14ac:dyDescent="0.15">
      <c r="A68" s="815"/>
      <c r="B68" s="655"/>
      <c r="C68" s="574"/>
      <c r="D68" s="629" t="s">
        <v>993</v>
      </c>
      <c r="E68" s="670"/>
      <c r="F68" s="629" t="s">
        <v>1235</v>
      </c>
      <c r="G68" s="207" t="s">
        <v>738</v>
      </c>
      <c r="H68" s="139">
        <v>13.55</v>
      </c>
      <c r="I68" s="702" t="str">
        <f t="shared" si="31"/>
        <v>걸레받이H=100, 지정도장마감m</v>
      </c>
      <c r="J68" s="454">
        <f>IF($G68="인","",VLOOKUP($I:$I,목록!$A:$M,8,FALSE))</f>
        <v>964</v>
      </c>
      <c r="K68" s="454">
        <f t="shared" si="32"/>
        <v>13062</v>
      </c>
      <c r="L68" s="454">
        <f>IF($G68="인","",VLOOKUP($I:$I,목록!$A:$M,9,FALSE))</f>
        <v>4848</v>
      </c>
      <c r="M68" s="454">
        <f t="shared" si="33"/>
        <v>65690</v>
      </c>
      <c r="N68" s="454" t="str">
        <f>IF($G68="인","",VLOOKUP($I:$I,목록!$A:$M,10,FALSE))</f>
        <v/>
      </c>
      <c r="O68" s="454" t="str">
        <f t="shared" si="34"/>
        <v/>
      </c>
      <c r="P68" s="454">
        <f t="shared" si="35"/>
        <v>78752</v>
      </c>
      <c r="Q68" s="194"/>
      <c r="R68" s="195" t="str">
        <f>"제"&amp;VLOOKUP($I:$I,목록!$A:$M,2,FALSE)&amp;"호표"</f>
        <v>제15호표</v>
      </c>
      <c r="S68" s="153"/>
      <c r="T68" s="804"/>
      <c r="U68" s="810">
        <f t="shared" si="0"/>
        <v>78752</v>
      </c>
      <c r="V68" s="703"/>
      <c r="W68" s="703"/>
      <c r="X68" s="673">
        <v>13.55</v>
      </c>
      <c r="Z68" s="741"/>
    </row>
    <row r="69" spans="1:26" s="699" customFormat="1" ht="18.75" customHeight="1" x14ac:dyDescent="0.15">
      <c r="A69" s="691"/>
      <c r="B69" s="692"/>
      <c r="C69" s="693"/>
      <c r="D69" s="707"/>
      <c r="E69" s="736"/>
      <c r="F69" s="707"/>
      <c r="G69" s="737"/>
      <c r="H69" s="139">
        <v>0</v>
      </c>
      <c r="I69" s="702"/>
      <c r="J69" s="454"/>
      <c r="K69" s="454"/>
      <c r="L69" s="454"/>
      <c r="M69" s="454"/>
      <c r="N69" s="454"/>
      <c r="O69" s="454"/>
      <c r="P69" s="454"/>
      <c r="Q69" s="194"/>
      <c r="R69" s="195"/>
      <c r="S69" s="698"/>
      <c r="T69" s="804"/>
      <c r="U69" s="810">
        <f t="shared" si="0"/>
        <v>0</v>
      </c>
      <c r="V69" s="703"/>
      <c r="W69" s="703"/>
      <c r="X69" s="673"/>
      <c r="Z69" s="741"/>
    </row>
    <row r="70" spans="1:26" s="699" customFormat="1" ht="18.75" customHeight="1" x14ac:dyDescent="0.15">
      <c r="A70" s="691"/>
      <c r="B70" s="692"/>
      <c r="C70" s="693"/>
      <c r="D70" s="707"/>
      <c r="E70" s="736"/>
      <c r="F70" s="707"/>
      <c r="G70" s="737"/>
      <c r="H70" s="139">
        <v>0</v>
      </c>
      <c r="I70" s="702"/>
      <c r="J70" s="454"/>
      <c r="K70" s="454"/>
      <c r="L70" s="454"/>
      <c r="M70" s="454"/>
      <c r="N70" s="454"/>
      <c r="O70" s="454"/>
      <c r="P70" s="454"/>
      <c r="Q70" s="194"/>
      <c r="R70" s="195"/>
      <c r="S70" s="698"/>
      <c r="T70" s="804"/>
      <c r="U70" s="810">
        <f t="shared" si="0"/>
        <v>0</v>
      </c>
      <c r="V70" s="703"/>
      <c r="W70" s="703"/>
      <c r="X70" s="673"/>
      <c r="Z70" s="741"/>
    </row>
    <row r="71" spans="1:26" s="598" customFormat="1" ht="18.95" customHeight="1" x14ac:dyDescent="0.15">
      <c r="A71" s="587"/>
      <c r="B71" s="588"/>
      <c r="C71" s="589" t="s">
        <v>346</v>
      </c>
      <c r="D71" s="720"/>
      <c r="E71" s="590"/>
      <c r="F71" s="591"/>
      <c r="G71" s="592"/>
      <c r="H71" s="593">
        <v>0</v>
      </c>
      <c r="I71" s="656" t="str">
        <f>D50</f>
        <v>벽체</v>
      </c>
      <c r="J71" s="594"/>
      <c r="K71" s="594">
        <f>SUM(K50:K70)</f>
        <v>4309253</v>
      </c>
      <c r="L71" s="594"/>
      <c r="M71" s="594">
        <f>SUM(M50:M70)</f>
        <v>8563161</v>
      </c>
      <c r="N71" s="594"/>
      <c r="O71" s="594">
        <f>SUM(O50:O70)</f>
        <v>4387</v>
      </c>
      <c r="P71" s="594">
        <f>SUM(K71,M71,O71)</f>
        <v>12876801</v>
      </c>
      <c r="Q71" s="595"/>
      <c r="R71" s="596"/>
      <c r="S71" s="597"/>
      <c r="T71" s="808"/>
      <c r="U71" s="810">
        <f t="shared" si="0"/>
        <v>0</v>
      </c>
      <c r="V71" s="703" t="s">
        <v>346</v>
      </c>
      <c r="W71" s="703">
        <f>A50</f>
        <v>3</v>
      </c>
      <c r="X71" s="673">
        <v>0</v>
      </c>
      <c r="Z71" s="742"/>
    </row>
    <row r="72" spans="1:26" s="699" customFormat="1" ht="18.75" customHeight="1" x14ac:dyDescent="0.15">
      <c r="A72" s="706">
        <f>집계!A9</f>
        <v>4</v>
      </c>
      <c r="B72" s="655"/>
      <c r="C72" s="574"/>
      <c r="D72" s="669" t="str">
        <f>집계!D9</f>
        <v>집기</v>
      </c>
      <c r="E72" s="670"/>
      <c r="F72" s="669"/>
      <c r="G72" s="207"/>
      <c r="H72" s="139">
        <v>0</v>
      </c>
      <c r="I72" s="702"/>
      <c r="J72" s="454"/>
      <c r="K72" s="454"/>
      <c r="L72" s="454"/>
      <c r="M72" s="454"/>
      <c r="N72" s="454"/>
      <c r="O72" s="454"/>
      <c r="P72" s="454"/>
      <c r="Q72" s="194"/>
      <c r="R72" s="195"/>
      <c r="S72" s="153"/>
      <c r="T72" s="804"/>
      <c r="U72" s="810">
        <f t="shared" si="0"/>
        <v>0</v>
      </c>
      <c r="V72" s="703"/>
      <c r="W72" s="703"/>
      <c r="X72" s="673"/>
      <c r="Z72" s="741"/>
    </row>
    <row r="73" spans="1:26" s="699" customFormat="1" ht="18.75" customHeight="1" x14ac:dyDescent="0.15">
      <c r="A73" s="691"/>
      <c r="B73" s="710" t="s">
        <v>1202</v>
      </c>
      <c r="C73" s="693"/>
      <c r="D73" s="669" t="s">
        <v>1281</v>
      </c>
      <c r="E73" s="708"/>
      <c r="F73" s="669" t="s">
        <v>1352</v>
      </c>
      <c r="G73" s="709"/>
      <c r="H73" s="694">
        <v>0</v>
      </c>
      <c r="I73" s="702"/>
      <c r="J73" s="695"/>
      <c r="K73" s="695"/>
      <c r="L73" s="695"/>
      <c r="M73" s="695"/>
      <c r="N73" s="695"/>
      <c r="O73" s="695"/>
      <c r="P73" s="695"/>
      <c r="Q73" s="696"/>
      <c r="R73" s="697"/>
      <c r="S73" s="698"/>
      <c r="T73" s="804"/>
      <c r="U73" s="810">
        <f t="shared" si="0"/>
        <v>0</v>
      </c>
      <c r="V73" s="703"/>
      <c r="W73" s="703"/>
      <c r="X73" s="673"/>
      <c r="Z73" s="741"/>
    </row>
    <row r="74" spans="1:26" s="699" customFormat="1" ht="18.75" customHeight="1" x14ac:dyDescent="0.15">
      <c r="A74" s="691"/>
      <c r="B74" s="710" t="s">
        <v>1086</v>
      </c>
      <c r="C74" s="693"/>
      <c r="D74" s="669" t="s">
        <v>1331</v>
      </c>
      <c r="E74" s="736"/>
      <c r="F74" s="669"/>
      <c r="G74" s="737"/>
      <c r="H74" s="694">
        <v>0</v>
      </c>
      <c r="I74" s="702"/>
      <c r="J74" s="695"/>
      <c r="K74" s="695"/>
      <c r="L74" s="695"/>
      <c r="M74" s="695"/>
      <c r="N74" s="695"/>
      <c r="O74" s="695"/>
      <c r="P74" s="695"/>
      <c r="Q74" s="696"/>
      <c r="R74" s="697"/>
      <c r="S74" s="698"/>
      <c r="T74" s="804"/>
      <c r="U74" s="810">
        <f t="shared" ref="U74:U137" si="36">TRUNC(SUM(J74,L74,N74)*H74)</f>
        <v>0</v>
      </c>
      <c r="V74" s="703"/>
      <c r="W74" s="703"/>
      <c r="X74" s="673"/>
      <c r="Z74" s="741"/>
    </row>
    <row r="75" spans="1:26" s="699" customFormat="1" ht="18.75" customHeight="1" x14ac:dyDescent="0.15">
      <c r="A75" s="691"/>
      <c r="B75" s="692"/>
      <c r="C75" s="693"/>
      <c r="D75" s="629" t="s">
        <v>433</v>
      </c>
      <c r="E75" s="670"/>
      <c r="F75" s="629" t="s">
        <v>994</v>
      </c>
      <c r="G75" s="207" t="s">
        <v>350</v>
      </c>
      <c r="H75" s="139">
        <v>13.97</v>
      </c>
      <c r="I75" s="702" t="str">
        <f t="shared" ref="I75:I77" si="37">CONCATENATE(D75,F75,G75)</f>
        <v>각파이프구조틀30*30*1.4T(S),@450㎡</v>
      </c>
      <c r="J75" s="454">
        <f>IF($G75="인","",VLOOKUP($I:$I,목록!$A:$M,8,FALSE))</f>
        <v>12173</v>
      </c>
      <c r="K75" s="454">
        <f t="shared" ref="K75:K77" si="38">IF(J75="","",TRUNC(J75*$H75,0))</f>
        <v>170056</v>
      </c>
      <c r="L75" s="454">
        <f>IF($G75="인","",VLOOKUP($I:$I,목록!$A:$M,9,FALSE))</f>
        <v>53614</v>
      </c>
      <c r="M75" s="454">
        <f t="shared" ref="M75:M77" si="39">IF(L75="","",TRUNC(L75*$H75,0))</f>
        <v>748987</v>
      </c>
      <c r="N75" s="454">
        <f>IF($G75="인","",VLOOKUP($I:$I,목록!$A:$M,10,FALSE))</f>
        <v>78</v>
      </c>
      <c r="O75" s="454">
        <f t="shared" ref="O75:O77" si="40">IF(N75="","",TRUNC(N75*$H75,0))</f>
        <v>1089</v>
      </c>
      <c r="P75" s="454">
        <f t="shared" ref="P75:P77" si="41">SUM(K75,M75,O75)</f>
        <v>920132</v>
      </c>
      <c r="Q75" s="194"/>
      <c r="R75" s="195" t="str">
        <f>"제"&amp;VLOOKUP($I:$I,목록!$A:$M,2,FALSE)&amp;"호표"</f>
        <v>제21호표</v>
      </c>
      <c r="S75" s="698"/>
      <c r="T75" s="804"/>
      <c r="U75" s="810">
        <f t="shared" si="36"/>
        <v>920134</v>
      </c>
      <c r="V75" s="703"/>
      <c r="W75" s="703"/>
      <c r="X75" s="673" t="s">
        <v>1336</v>
      </c>
      <c r="Z75" s="741"/>
    </row>
    <row r="76" spans="1:26" s="699" customFormat="1" ht="18.75" customHeight="1" x14ac:dyDescent="0.15">
      <c r="A76" s="691"/>
      <c r="B76" s="692"/>
      <c r="C76" s="693"/>
      <c r="D76" s="629" t="s">
        <v>990</v>
      </c>
      <c r="E76" s="670"/>
      <c r="F76" s="629" t="s">
        <v>989</v>
      </c>
      <c r="G76" s="207" t="s">
        <v>726</v>
      </c>
      <c r="H76" s="139">
        <v>13.97</v>
      </c>
      <c r="I76" s="702" t="str">
        <f t="shared" ref="I76" si="42">CONCATENATE(D76,F76,G76)</f>
        <v>합판취부(벽체)THK=8.5mm * 1PLY, 바탕㎡</v>
      </c>
      <c r="J76" s="454">
        <f>IF($G76="인","",VLOOKUP($I:$I,목록!$A:$M,8,FALSE))</f>
        <v>7874</v>
      </c>
      <c r="K76" s="454">
        <f t="shared" ref="K76" si="43">IF(J76="","",TRUNC(J76*$H76,0))</f>
        <v>109999</v>
      </c>
      <c r="L76" s="454">
        <f>IF($G76="인","",VLOOKUP($I:$I,목록!$A:$M,9,FALSE))</f>
        <v>10784</v>
      </c>
      <c r="M76" s="454">
        <f t="shared" ref="M76" si="44">IF(L76="","",TRUNC(L76*$H76,0))</f>
        <v>150652</v>
      </c>
      <c r="N76" s="454" t="str">
        <f>IF($G76="인","",VLOOKUP($I:$I,목록!$A:$M,10,FALSE))</f>
        <v/>
      </c>
      <c r="O76" s="454" t="str">
        <f t="shared" ref="O76" si="45">IF(N76="","",TRUNC(N76*$H76,0))</f>
        <v/>
      </c>
      <c r="P76" s="454">
        <f t="shared" ref="P76" si="46">SUM(K76,M76,O76)</f>
        <v>260651</v>
      </c>
      <c r="Q76" s="194"/>
      <c r="R76" s="195" t="str">
        <f>"제"&amp;VLOOKUP($I:$I,목록!$A:$M,2,FALSE)&amp;"호표"</f>
        <v>제11호표</v>
      </c>
      <c r="S76" s="698"/>
      <c r="T76" s="804"/>
      <c r="U76" s="810">
        <f t="shared" si="36"/>
        <v>260652</v>
      </c>
      <c r="V76" s="703"/>
      <c r="W76" s="703"/>
      <c r="X76" s="673" t="s">
        <v>1336</v>
      </c>
      <c r="Z76" s="741"/>
    </row>
    <row r="77" spans="1:26" s="699" customFormat="1" ht="18.75" customHeight="1" x14ac:dyDescent="0.15">
      <c r="A77" s="691"/>
      <c r="B77" s="692"/>
      <c r="C77" s="693"/>
      <c r="D77" s="629" t="s">
        <v>992</v>
      </c>
      <c r="E77" s="670"/>
      <c r="F77" s="629" t="s">
        <v>1295</v>
      </c>
      <c r="G77" s="207" t="s">
        <v>988</v>
      </c>
      <c r="H77" s="139">
        <v>10.26</v>
      </c>
      <c r="I77" s="702" t="str">
        <f t="shared" si="37"/>
        <v>섬유판가공취부(벽체)THK=9mm * 1PLY, 집기/하우징류㎡</v>
      </c>
      <c r="J77" s="454">
        <f>IF($G77="인","",VLOOKUP($I:$I,목록!$A:$M,8,FALSE))</f>
        <v>7570</v>
      </c>
      <c r="K77" s="454">
        <f t="shared" si="38"/>
        <v>77668</v>
      </c>
      <c r="L77" s="454">
        <f>IF($G77="인","",VLOOKUP($I:$I,목록!$A:$M,9,FALSE))</f>
        <v>15117</v>
      </c>
      <c r="M77" s="454">
        <f t="shared" si="39"/>
        <v>155100</v>
      </c>
      <c r="N77" s="454" t="str">
        <f>IF($G77="인","",VLOOKUP($I:$I,목록!$A:$M,10,FALSE))</f>
        <v/>
      </c>
      <c r="O77" s="454" t="str">
        <f t="shared" si="40"/>
        <v/>
      </c>
      <c r="P77" s="454">
        <f t="shared" si="41"/>
        <v>232768</v>
      </c>
      <c r="Q77" s="194"/>
      <c r="R77" s="195" t="str">
        <f>"제"&amp;VLOOKUP($I:$I,목록!$A:$M,2,FALSE)&amp;"호표"</f>
        <v>제13호표</v>
      </c>
      <c r="S77" s="698"/>
      <c r="T77" s="804"/>
      <c r="U77" s="810">
        <f t="shared" si="36"/>
        <v>232768</v>
      </c>
      <c r="V77" s="703"/>
      <c r="W77" s="703"/>
      <c r="X77" s="673" t="s">
        <v>1337</v>
      </c>
      <c r="Z77" s="741"/>
    </row>
    <row r="78" spans="1:26" s="699" customFormat="1" ht="18.75" customHeight="1" x14ac:dyDescent="0.15">
      <c r="A78" s="691"/>
      <c r="B78" s="692"/>
      <c r="C78" s="693"/>
      <c r="D78" s="629" t="s">
        <v>1278</v>
      </c>
      <c r="E78" s="670"/>
      <c r="F78" s="629" t="s">
        <v>1340</v>
      </c>
      <c r="G78" s="207" t="s">
        <v>350</v>
      </c>
      <c r="H78" s="139">
        <v>9.26</v>
      </c>
      <c r="I78" s="702" t="str">
        <f t="shared" ref="I78" si="47">CONCATENATE(D78,F78,G78)</f>
        <v>인조대리석 측벽시공THK=12mm, 하이막스, 화이트칩㎡</v>
      </c>
      <c r="J78" s="454">
        <f>IF($G78="인","",VLOOKUP($I:$I,목록!$A:$M,8,FALSE))</f>
        <v>169950</v>
      </c>
      <c r="K78" s="454">
        <f t="shared" ref="K78" si="48">IF(J78="","",TRUNC(J78*$H78,0))</f>
        <v>1573737</v>
      </c>
      <c r="L78" s="454">
        <f>IF($G78="인","",VLOOKUP($I:$I,목록!$A:$M,9,FALSE))</f>
        <v>159000</v>
      </c>
      <c r="M78" s="454">
        <f t="shared" ref="M78" si="49">IF(L78="","",TRUNC(L78*$H78,0))</f>
        <v>1472340</v>
      </c>
      <c r="N78" s="454" t="str">
        <f>IF($G78="인","",VLOOKUP($I:$I,목록!$A:$M,10,FALSE))</f>
        <v/>
      </c>
      <c r="O78" s="454" t="str">
        <f t="shared" ref="O78" si="50">IF(N78="","",TRUNC(N78*$H78,0))</f>
        <v/>
      </c>
      <c r="P78" s="454">
        <f t="shared" ref="P78" si="51">SUM(K78,M78,O78)</f>
        <v>3046077</v>
      </c>
      <c r="Q78" s="194"/>
      <c r="R78" s="195" t="str">
        <f>"제"&amp;VLOOKUP($I:$I,목록!$A:$M,2,FALSE)&amp;"호표"</f>
        <v>제33호표</v>
      </c>
      <c r="S78" s="698"/>
      <c r="T78" s="804"/>
      <c r="U78" s="810">
        <f t="shared" si="36"/>
        <v>3046077</v>
      </c>
      <c r="V78" s="703"/>
      <c r="W78" s="703"/>
      <c r="X78" s="673" t="s">
        <v>1339</v>
      </c>
      <c r="Z78" s="741"/>
    </row>
    <row r="79" spans="1:26" s="699" customFormat="1" ht="18.75" customHeight="1" x14ac:dyDescent="0.15">
      <c r="A79" s="691"/>
      <c r="B79" s="692"/>
      <c r="C79" s="693"/>
      <c r="D79" s="629" t="s">
        <v>1332</v>
      </c>
      <c r="E79" s="670"/>
      <c r="F79" s="629" t="s">
        <v>1333</v>
      </c>
      <c r="G79" s="207" t="s">
        <v>351</v>
      </c>
      <c r="H79" s="139">
        <v>10.6</v>
      </c>
      <c r="I79" s="702" t="str">
        <f>CONCATENATE(D79,F79,G79)</f>
        <v>지정무늬목 루버연출W:300, 띠장 연출m</v>
      </c>
      <c r="J79" s="695">
        <f>IF(I79="인","",VLOOKUP($I:$I,단가!$A:$S,19,FALSE))</f>
        <v>95000</v>
      </c>
      <c r="K79" s="695">
        <f t="shared" ref="K79" si="52">IF(J79="","",TRUNC(J79*$H79,0))</f>
        <v>1007000</v>
      </c>
      <c r="L79" s="695">
        <v>0</v>
      </c>
      <c r="M79" s="695">
        <f t="shared" ref="M79" si="53">IF(L79="","",TRUNC(L79*$H79,0))</f>
        <v>0</v>
      </c>
      <c r="N79" s="695">
        <v>0</v>
      </c>
      <c r="O79" s="695">
        <f t="shared" ref="O79" si="54">IF(N79="","",TRUNC(N79*$H79,0))</f>
        <v>0</v>
      </c>
      <c r="P79" s="695">
        <f t="shared" ref="P79" si="55">SUM(K79,M79,O79)</f>
        <v>1007000</v>
      </c>
      <c r="Q79" s="696"/>
      <c r="R79" s="697" t="str">
        <f>"단가"&amp;VLOOKUP($I:$I,단가!$A:$B,2,FALSE)&amp;"번"</f>
        <v>단가96번</v>
      </c>
      <c r="S79" s="698"/>
      <c r="T79" s="804"/>
      <c r="U79" s="810">
        <f t="shared" si="36"/>
        <v>1007000</v>
      </c>
      <c r="V79" s="703"/>
      <c r="W79" s="703"/>
      <c r="X79" s="673" t="s">
        <v>1334</v>
      </c>
      <c r="Z79" s="743"/>
    </row>
    <row r="80" spans="1:26" s="699" customFormat="1" ht="18.75" customHeight="1" x14ac:dyDescent="0.15">
      <c r="A80" s="691"/>
      <c r="B80" s="710" t="s">
        <v>1086</v>
      </c>
      <c r="C80" s="693"/>
      <c r="D80" s="669" t="s">
        <v>1335</v>
      </c>
      <c r="E80" s="736"/>
      <c r="F80" s="669"/>
      <c r="G80" s="737"/>
      <c r="H80" s="694">
        <v>0</v>
      </c>
      <c r="I80" s="702"/>
      <c r="J80" s="695"/>
      <c r="K80" s="695"/>
      <c r="L80" s="695"/>
      <c r="M80" s="695"/>
      <c r="N80" s="695"/>
      <c r="O80" s="695"/>
      <c r="P80" s="695"/>
      <c r="Q80" s="696"/>
      <c r="R80" s="697"/>
      <c r="S80" s="698"/>
      <c r="T80" s="804"/>
      <c r="U80" s="810">
        <f t="shared" si="36"/>
        <v>0</v>
      </c>
      <c r="V80" s="703"/>
      <c r="W80" s="703"/>
      <c r="X80" s="673"/>
      <c r="Z80" s="741"/>
    </row>
    <row r="81" spans="1:26" s="699" customFormat="1" ht="18.75" customHeight="1" x14ac:dyDescent="0.15">
      <c r="A81" s="691"/>
      <c r="B81" s="692"/>
      <c r="C81" s="693"/>
      <c r="D81" s="629" t="s">
        <v>990</v>
      </c>
      <c r="E81" s="670"/>
      <c r="F81" s="629" t="s">
        <v>989</v>
      </c>
      <c r="G81" s="207" t="s">
        <v>726</v>
      </c>
      <c r="H81" s="139">
        <v>4.45</v>
      </c>
      <c r="I81" s="702" t="str">
        <f t="shared" ref="I81:I83" si="56">CONCATENATE(D81,F81,G81)</f>
        <v>합판취부(벽체)THK=8.5mm * 1PLY, 바탕㎡</v>
      </c>
      <c r="J81" s="454">
        <f>IF($G81="인","",VLOOKUP($I:$I,목록!$A:$M,8,FALSE))</f>
        <v>7874</v>
      </c>
      <c r="K81" s="454">
        <f t="shared" ref="K81:K83" si="57">IF(J81="","",TRUNC(J81*$H81,0))</f>
        <v>35039</v>
      </c>
      <c r="L81" s="454">
        <f>IF($G81="인","",VLOOKUP($I:$I,목록!$A:$M,9,FALSE))</f>
        <v>10784</v>
      </c>
      <c r="M81" s="454">
        <f t="shared" ref="M81:M83" si="58">IF(L81="","",TRUNC(L81*$H81,0))</f>
        <v>47988</v>
      </c>
      <c r="N81" s="454" t="str">
        <f>IF($G81="인","",VLOOKUP($I:$I,목록!$A:$M,10,FALSE))</f>
        <v/>
      </c>
      <c r="O81" s="454" t="str">
        <f t="shared" ref="O81:O83" si="59">IF(N81="","",TRUNC(N81*$H81,0))</f>
        <v/>
      </c>
      <c r="P81" s="454">
        <f t="shared" ref="P81:P83" si="60">SUM(K81,M81,O81)</f>
        <v>83027</v>
      </c>
      <c r="Q81" s="194"/>
      <c r="R81" s="195" t="str">
        <f>"제"&amp;VLOOKUP($I:$I,목록!$A:$M,2,FALSE)&amp;"호표"</f>
        <v>제11호표</v>
      </c>
      <c r="S81" s="698"/>
      <c r="T81" s="804"/>
      <c r="U81" s="810">
        <f t="shared" si="36"/>
        <v>83028</v>
      </c>
      <c r="V81" s="703"/>
      <c r="W81" s="703"/>
      <c r="X81" s="673" t="s">
        <v>1338</v>
      </c>
      <c r="Z81" s="741"/>
    </row>
    <row r="82" spans="1:26" s="699" customFormat="1" ht="18.75" customHeight="1" x14ac:dyDescent="0.15">
      <c r="A82" s="691"/>
      <c r="B82" s="692"/>
      <c r="C82" s="693"/>
      <c r="D82" s="629" t="s">
        <v>992</v>
      </c>
      <c r="E82" s="670"/>
      <c r="F82" s="629" t="s">
        <v>1295</v>
      </c>
      <c r="G82" s="207" t="s">
        <v>726</v>
      </c>
      <c r="H82" s="139">
        <v>4.45</v>
      </c>
      <c r="I82" s="702" t="str">
        <f t="shared" ref="I82" si="61">CONCATENATE(D82,F82,G82)</f>
        <v>섬유판가공취부(벽체)THK=9mm * 1PLY, 집기/하우징류㎡</v>
      </c>
      <c r="J82" s="454">
        <f>IF($G82="인","",VLOOKUP($I:$I,목록!$A:$M,8,FALSE))</f>
        <v>7570</v>
      </c>
      <c r="K82" s="454">
        <f t="shared" ref="K82" si="62">IF(J82="","",TRUNC(J82*$H82,0))</f>
        <v>33686</v>
      </c>
      <c r="L82" s="454">
        <f>IF($G82="인","",VLOOKUP($I:$I,목록!$A:$M,9,FALSE))</f>
        <v>15117</v>
      </c>
      <c r="M82" s="454">
        <f t="shared" ref="M82" si="63">IF(L82="","",TRUNC(L82*$H82,0))</f>
        <v>67270</v>
      </c>
      <c r="N82" s="454" t="str">
        <f>IF($G82="인","",VLOOKUP($I:$I,목록!$A:$M,10,FALSE))</f>
        <v/>
      </c>
      <c r="O82" s="454" t="str">
        <f t="shared" ref="O82" si="64">IF(N82="","",TRUNC(N82*$H82,0))</f>
        <v/>
      </c>
      <c r="P82" s="454">
        <f t="shared" ref="P82" si="65">SUM(K82,M82,O82)</f>
        <v>100956</v>
      </c>
      <c r="Q82" s="194"/>
      <c r="R82" s="195" t="str">
        <f>"제"&amp;VLOOKUP($I:$I,목록!$A:$M,2,FALSE)&amp;"호표"</f>
        <v>제13호표</v>
      </c>
      <c r="S82" s="698"/>
      <c r="T82" s="804"/>
      <c r="U82" s="810">
        <f t="shared" si="36"/>
        <v>100957</v>
      </c>
      <c r="V82" s="703"/>
      <c r="W82" s="703"/>
      <c r="X82" s="673" t="s">
        <v>1338</v>
      </c>
      <c r="Z82" s="741"/>
    </row>
    <row r="83" spans="1:26" s="699" customFormat="1" ht="18.75" customHeight="1" x14ac:dyDescent="0.15">
      <c r="A83" s="821"/>
      <c r="B83" s="655"/>
      <c r="C83" s="574"/>
      <c r="D83" s="629" t="s">
        <v>1277</v>
      </c>
      <c r="E83" s="670"/>
      <c r="F83" s="629" t="s">
        <v>1340</v>
      </c>
      <c r="G83" s="207" t="s">
        <v>726</v>
      </c>
      <c r="H83" s="139">
        <v>4.45</v>
      </c>
      <c r="I83" s="702" t="str">
        <f t="shared" si="56"/>
        <v>인조대리석 상판시공THK=12mm, 하이막스, 화이트칩㎡</v>
      </c>
      <c r="J83" s="454">
        <f>IF($G83="인","",VLOOKUP($I:$I,목록!$A:$M,8,FALSE))</f>
        <v>169950</v>
      </c>
      <c r="K83" s="454">
        <f t="shared" si="57"/>
        <v>756277</v>
      </c>
      <c r="L83" s="454">
        <f>IF($G83="인","",VLOOKUP($I:$I,목록!$A:$M,9,FALSE))</f>
        <v>109000</v>
      </c>
      <c r="M83" s="454">
        <f t="shared" si="58"/>
        <v>485050</v>
      </c>
      <c r="N83" s="454" t="str">
        <f>IF($G83="인","",VLOOKUP($I:$I,목록!$A:$M,10,FALSE))</f>
        <v/>
      </c>
      <c r="O83" s="454" t="str">
        <f t="shared" si="59"/>
        <v/>
      </c>
      <c r="P83" s="454">
        <f t="shared" si="60"/>
        <v>1241327</v>
      </c>
      <c r="Q83" s="194"/>
      <c r="R83" s="195" t="str">
        <f>"제"&amp;VLOOKUP($I:$I,목록!$A:$M,2,FALSE)&amp;"호표"</f>
        <v>제32호표</v>
      </c>
      <c r="S83" s="153"/>
      <c r="T83" s="804"/>
      <c r="U83" s="810">
        <f t="shared" si="36"/>
        <v>1241327</v>
      </c>
      <c r="V83" s="701"/>
      <c r="W83" s="701"/>
      <c r="X83" s="673" t="s">
        <v>1338</v>
      </c>
      <c r="Z83" s="741"/>
    </row>
    <row r="84" spans="1:26" s="699" customFormat="1" ht="18.75" customHeight="1" x14ac:dyDescent="0.15">
      <c r="A84" s="691"/>
      <c r="B84" s="710" t="s">
        <v>1086</v>
      </c>
      <c r="C84" s="693"/>
      <c r="D84" s="669" t="s">
        <v>1341</v>
      </c>
      <c r="E84" s="736"/>
      <c r="F84" s="669" t="s">
        <v>1342</v>
      </c>
      <c r="G84" s="737"/>
      <c r="H84" s="694">
        <v>0</v>
      </c>
      <c r="I84" s="702"/>
      <c r="J84" s="695"/>
      <c r="K84" s="695"/>
      <c r="L84" s="695"/>
      <c r="M84" s="695"/>
      <c r="N84" s="695"/>
      <c r="O84" s="695"/>
      <c r="P84" s="695"/>
      <c r="Q84" s="696"/>
      <c r="R84" s="697"/>
      <c r="S84" s="698"/>
      <c r="T84" s="804"/>
      <c r="U84" s="810">
        <f t="shared" si="36"/>
        <v>0</v>
      </c>
      <c r="V84" s="703"/>
      <c r="W84" s="703"/>
      <c r="X84" s="673"/>
      <c r="Z84" s="741"/>
    </row>
    <row r="85" spans="1:26" s="699" customFormat="1" ht="18.75" customHeight="1" x14ac:dyDescent="0.15">
      <c r="A85" s="691"/>
      <c r="B85" s="692"/>
      <c r="C85" s="693"/>
      <c r="D85" s="629" t="s">
        <v>433</v>
      </c>
      <c r="E85" s="670"/>
      <c r="F85" s="629" t="s">
        <v>994</v>
      </c>
      <c r="G85" s="207" t="s">
        <v>350</v>
      </c>
      <c r="H85" s="139">
        <v>2.2400000000000002</v>
      </c>
      <c r="I85" s="702" t="str">
        <f t="shared" ref="I85" si="66">CONCATENATE(D85,F85,G85)</f>
        <v>각파이프구조틀30*30*1.4T(S),@450㎡</v>
      </c>
      <c r="J85" s="454">
        <f>IF($G85="인","",VLOOKUP($I:$I,목록!$A:$M,8,FALSE))</f>
        <v>12173</v>
      </c>
      <c r="K85" s="454">
        <f t="shared" ref="K85" si="67">IF(J85="","",TRUNC(J85*$H85,0))</f>
        <v>27267</v>
      </c>
      <c r="L85" s="454">
        <f>IF($G85="인","",VLOOKUP($I:$I,목록!$A:$M,9,FALSE))</f>
        <v>53614</v>
      </c>
      <c r="M85" s="454">
        <f t="shared" ref="M85" si="68">IF(L85="","",TRUNC(L85*$H85,0))</f>
        <v>120095</v>
      </c>
      <c r="N85" s="454">
        <f>IF($G85="인","",VLOOKUP($I:$I,목록!$A:$M,10,FALSE))</f>
        <v>78</v>
      </c>
      <c r="O85" s="454">
        <f t="shared" ref="O85" si="69">IF(N85="","",TRUNC(N85*$H85,0))</f>
        <v>174</v>
      </c>
      <c r="P85" s="454">
        <f t="shared" ref="P85" si="70">SUM(K85,M85,O85)</f>
        <v>147536</v>
      </c>
      <c r="Q85" s="194"/>
      <c r="R85" s="195" t="str">
        <f>"제"&amp;VLOOKUP($I:$I,목록!$A:$M,2,FALSE)&amp;"호표"</f>
        <v>제21호표</v>
      </c>
      <c r="S85" s="698"/>
      <c r="T85" s="804"/>
      <c r="U85" s="810">
        <f t="shared" si="36"/>
        <v>147537</v>
      </c>
      <c r="V85" s="703"/>
      <c r="W85" s="703"/>
      <c r="X85" s="673" t="s">
        <v>1344</v>
      </c>
      <c r="Z85" s="741"/>
    </row>
    <row r="86" spans="1:26" s="699" customFormat="1" ht="18.75" customHeight="1" x14ac:dyDescent="0.15">
      <c r="A86" s="691"/>
      <c r="B86" s="692"/>
      <c r="C86" s="693"/>
      <c r="D86" s="629" t="s">
        <v>992</v>
      </c>
      <c r="E86" s="670"/>
      <c r="F86" s="629" t="s">
        <v>1295</v>
      </c>
      <c r="G86" s="207" t="s">
        <v>726</v>
      </c>
      <c r="H86" s="139">
        <v>2.2400000000000002</v>
      </c>
      <c r="I86" s="702" t="str">
        <f t="shared" ref="I86" si="71">CONCATENATE(D86,F86,G86)</f>
        <v>섬유판가공취부(벽체)THK=9mm * 1PLY, 집기/하우징류㎡</v>
      </c>
      <c r="J86" s="454">
        <f>IF($G86="인","",VLOOKUP($I:$I,목록!$A:$M,8,FALSE))</f>
        <v>7570</v>
      </c>
      <c r="K86" s="454">
        <f t="shared" ref="K86" si="72">IF(J86="","",TRUNC(J86*$H86,0))</f>
        <v>16956</v>
      </c>
      <c r="L86" s="454">
        <f>IF($G86="인","",VLOOKUP($I:$I,목록!$A:$M,9,FALSE))</f>
        <v>15117</v>
      </c>
      <c r="M86" s="454">
        <f t="shared" ref="M86" si="73">IF(L86="","",TRUNC(L86*$H86,0))</f>
        <v>33862</v>
      </c>
      <c r="N86" s="454" t="str">
        <f>IF($G86="인","",VLOOKUP($I:$I,목록!$A:$M,10,FALSE))</f>
        <v/>
      </c>
      <c r="O86" s="454" t="str">
        <f t="shared" ref="O86" si="74">IF(N86="","",TRUNC(N86*$H86,0))</f>
        <v/>
      </c>
      <c r="P86" s="454">
        <f t="shared" ref="P86" si="75">SUM(K86,M86,O86)</f>
        <v>50818</v>
      </c>
      <c r="Q86" s="194"/>
      <c r="R86" s="195" t="str">
        <f>"제"&amp;VLOOKUP($I:$I,목록!$A:$M,2,FALSE)&amp;"호표"</f>
        <v>제13호표</v>
      </c>
      <c r="S86" s="698"/>
      <c r="T86" s="804"/>
      <c r="U86" s="810">
        <f t="shared" si="36"/>
        <v>50818</v>
      </c>
      <c r="V86" s="703"/>
      <c r="W86" s="703"/>
      <c r="X86" s="673" t="s">
        <v>1344</v>
      </c>
      <c r="Z86" s="741"/>
    </row>
    <row r="87" spans="1:26" s="699" customFormat="1" ht="18.75" customHeight="1" x14ac:dyDescent="0.15">
      <c r="A87" s="691"/>
      <c r="B87" s="692"/>
      <c r="C87" s="693"/>
      <c r="D87" s="629" t="s">
        <v>1002</v>
      </c>
      <c r="E87" s="670"/>
      <c r="F87" s="629" t="s">
        <v>744</v>
      </c>
      <c r="G87" s="207" t="s">
        <v>726</v>
      </c>
      <c r="H87" s="139">
        <v>2.2400000000000002</v>
      </c>
      <c r="I87" s="702" t="str">
        <f t="shared" ref="I87" si="76">CONCATENATE(D87,F87,G87)</f>
        <v>ALL PUTTY(벽체)석고보드면, 합판면㎡</v>
      </c>
      <c r="J87" s="454">
        <f>IF($G87="인","",VLOOKUP($I:$I,목록!$A:$M,8,FALSE))</f>
        <v>2130</v>
      </c>
      <c r="K87" s="454">
        <f t="shared" ref="K87" si="77">IF(J87="","",TRUNC(J87*$H87,0))</f>
        <v>4771</v>
      </c>
      <c r="L87" s="454">
        <f>IF($G87="인","",VLOOKUP($I:$I,목록!$A:$M,9,FALSE))</f>
        <v>11734</v>
      </c>
      <c r="M87" s="454">
        <f t="shared" ref="M87" si="78">IF(L87="","",TRUNC(L87*$H87,0))</f>
        <v>26284</v>
      </c>
      <c r="N87" s="454" t="str">
        <f>IF($G87="인","",VLOOKUP($I:$I,목록!$A:$M,10,FALSE))</f>
        <v/>
      </c>
      <c r="O87" s="454" t="str">
        <f t="shared" ref="O87" si="79">IF(N87="","",TRUNC(N87*$H87,0))</f>
        <v/>
      </c>
      <c r="P87" s="454">
        <f t="shared" ref="P87" si="80">SUM(K87,M87,O87)</f>
        <v>31055</v>
      </c>
      <c r="Q87" s="194"/>
      <c r="R87" s="195" t="str">
        <f>"제"&amp;VLOOKUP($I:$I,목록!$A:$M,2,FALSE)&amp;"호표"</f>
        <v>제37호표</v>
      </c>
      <c r="S87" s="698"/>
      <c r="T87" s="804"/>
      <c r="U87" s="810">
        <f t="shared" si="36"/>
        <v>31055</v>
      </c>
      <c r="V87" s="703"/>
      <c r="W87" s="703"/>
      <c r="X87" s="673" t="s">
        <v>1344</v>
      </c>
      <c r="Z87" s="741"/>
    </row>
    <row r="88" spans="1:26" s="699" customFormat="1" ht="18.75" customHeight="1" x14ac:dyDescent="0.15">
      <c r="A88" s="691"/>
      <c r="B88" s="692"/>
      <c r="C88" s="693"/>
      <c r="D88" s="629" t="s">
        <v>747</v>
      </c>
      <c r="E88" s="670"/>
      <c r="F88" s="629" t="s">
        <v>1003</v>
      </c>
      <c r="G88" s="207" t="s">
        <v>726</v>
      </c>
      <c r="H88" s="139">
        <v>2.2400000000000002</v>
      </c>
      <c r="I88" s="702" t="str">
        <f t="shared" ref="I88" si="81">CONCATENATE(D88,F88,G88)</f>
        <v>칼라락카목재면기준㎡</v>
      </c>
      <c r="J88" s="454">
        <f>IF($G88="인","",VLOOKUP($I:$I,목록!$A:$M,8,FALSE))</f>
        <v>9287</v>
      </c>
      <c r="K88" s="454">
        <f t="shared" ref="K88" si="82">IF(J88="","",TRUNC(J88*$H88,0))</f>
        <v>20802</v>
      </c>
      <c r="L88" s="454">
        <f>IF($G88="인","",VLOOKUP($I:$I,목록!$A:$M,9,FALSE))</f>
        <v>53632</v>
      </c>
      <c r="M88" s="454">
        <f t="shared" ref="M88" si="83">IF(L88="","",TRUNC(L88*$H88,0))</f>
        <v>120135</v>
      </c>
      <c r="N88" s="454" t="str">
        <f>IF($G88="인","",VLOOKUP($I:$I,목록!$A:$M,10,FALSE))</f>
        <v/>
      </c>
      <c r="O88" s="454" t="str">
        <f t="shared" ref="O88" si="84">IF(N88="","",TRUNC(N88*$H88,0))</f>
        <v/>
      </c>
      <c r="P88" s="454">
        <f t="shared" ref="P88" si="85">SUM(K88,M88,O88)</f>
        <v>140937</v>
      </c>
      <c r="Q88" s="194"/>
      <c r="R88" s="195" t="str">
        <f>"제"&amp;VLOOKUP($I:$I,목록!$A:$M,2,FALSE)&amp;"호표"</f>
        <v>제42호표</v>
      </c>
      <c r="S88" s="698"/>
      <c r="T88" s="804"/>
      <c r="U88" s="810">
        <f t="shared" si="36"/>
        <v>140938</v>
      </c>
      <c r="V88" s="703"/>
      <c r="W88" s="703"/>
      <c r="X88" s="673" t="s">
        <v>1344</v>
      </c>
      <c r="Z88" s="741"/>
    </row>
    <row r="89" spans="1:26" s="699" customFormat="1" ht="18.75" customHeight="1" x14ac:dyDescent="0.15">
      <c r="A89" s="821"/>
      <c r="B89" s="655"/>
      <c r="C89" s="574"/>
      <c r="D89" s="707" t="s">
        <v>1258</v>
      </c>
      <c r="E89" s="736"/>
      <c r="F89" s="629" t="s">
        <v>1259</v>
      </c>
      <c r="G89" s="207" t="s">
        <v>351</v>
      </c>
      <c r="H89" s="139">
        <v>2</v>
      </c>
      <c r="I89" s="702" t="str">
        <f>CONCATENATE(D89,F89,G89)</f>
        <v>간접조명 후레임GAL'V,THK=1.6mm(S) W=160m</v>
      </c>
      <c r="J89" s="454">
        <f>IF($G89="인","",VLOOKUP($I:$I,목록!$A:$M,8,FALSE))</f>
        <v>10679</v>
      </c>
      <c r="K89" s="454">
        <f>IF(J89="","",TRUNC(J89*$H89,0))</f>
        <v>21358</v>
      </c>
      <c r="L89" s="454">
        <f>IF($G89="인","",VLOOKUP($I:$I,목록!$A:$M,9,FALSE))</f>
        <v>26414</v>
      </c>
      <c r="M89" s="454">
        <f>IF(L89="","",TRUNC(L89*$H89,0))</f>
        <v>52828</v>
      </c>
      <c r="N89" s="454">
        <f>IF($G89="인","",VLOOKUP($I:$I,목록!$A:$M,10,FALSE))</f>
        <v>33</v>
      </c>
      <c r="O89" s="454">
        <f>IF(N89="","",TRUNC(N89*$H89,0))</f>
        <v>66</v>
      </c>
      <c r="P89" s="454">
        <f>SUM(K89,M89,O89)</f>
        <v>74252</v>
      </c>
      <c r="Q89" s="194"/>
      <c r="R89" s="195" t="str">
        <f>"제"&amp;VLOOKUP($I:$I,목록!$A:$M,2,FALSE)&amp;"호표"</f>
        <v>제24호표</v>
      </c>
      <c r="S89" s="153"/>
      <c r="T89" s="804"/>
      <c r="U89" s="810">
        <f t="shared" si="36"/>
        <v>74252</v>
      </c>
      <c r="V89" s="701"/>
      <c r="W89" s="701"/>
      <c r="X89" s="673">
        <v>2</v>
      </c>
      <c r="Z89" s="741"/>
    </row>
    <row r="90" spans="1:26" s="699" customFormat="1" ht="18.75" customHeight="1" x14ac:dyDescent="0.15">
      <c r="A90" s="821"/>
      <c r="B90" s="655"/>
      <c r="C90" s="574"/>
      <c r="D90" s="629" t="s">
        <v>1260</v>
      </c>
      <c r="E90" s="670"/>
      <c r="F90" s="629" t="s">
        <v>1262</v>
      </c>
      <c r="G90" s="207" t="s">
        <v>351</v>
      </c>
      <c r="H90" s="139">
        <v>2</v>
      </c>
      <c r="I90" s="702" t="str">
        <f t="shared" ref="I90" si="86">CONCATENATE(D90,F90,G90)</f>
        <v>LED LINE 조명 설치LED BAR 14.4Wm</v>
      </c>
      <c r="J90" s="454">
        <f>IF($G90="인","",VLOOKUP($I:$I,목록!$A:$M,8,FALSE))</f>
        <v>24000</v>
      </c>
      <c r="K90" s="454">
        <f t="shared" ref="K90" si="87">IF(J90="","",TRUNC(J90*$H90,0))</f>
        <v>48000</v>
      </c>
      <c r="L90" s="454">
        <f>IF($G90="인","",VLOOKUP($I:$I,목록!$A:$M,9,FALSE))</f>
        <v>22386</v>
      </c>
      <c r="M90" s="454">
        <f t="shared" ref="M90" si="88">IF(L90="","",TRUNC(L90*$H90,0))</f>
        <v>44772</v>
      </c>
      <c r="N90" s="454" t="str">
        <f>IF($G90="인","",VLOOKUP($I:$I,목록!$A:$M,10,FALSE))</f>
        <v/>
      </c>
      <c r="O90" s="454" t="str">
        <f t="shared" ref="O90" si="89">IF(N90="","",TRUNC(N90*$H90,0))</f>
        <v/>
      </c>
      <c r="P90" s="454">
        <f t="shared" ref="P90" si="90">SUM(K90,M90,O90)</f>
        <v>92772</v>
      </c>
      <c r="Q90" s="194"/>
      <c r="R90" s="195" t="str">
        <f>"제"&amp;VLOOKUP($I:$I,목록!$A:$M,2,FALSE)&amp;"호표"</f>
        <v>제25호표</v>
      </c>
      <c r="S90" s="153"/>
      <c r="T90" s="804"/>
      <c r="U90" s="810">
        <f t="shared" si="36"/>
        <v>92772</v>
      </c>
      <c r="V90" s="703"/>
      <c r="W90" s="703"/>
      <c r="X90" s="673">
        <v>2</v>
      </c>
      <c r="Z90" s="741"/>
    </row>
    <row r="91" spans="1:26" s="699" customFormat="1" ht="18.75" customHeight="1" x14ac:dyDescent="0.15">
      <c r="A91" s="691"/>
      <c r="B91" s="692"/>
      <c r="C91" s="693"/>
      <c r="D91" s="629" t="s">
        <v>949</v>
      </c>
      <c r="E91" s="670"/>
      <c r="F91" s="629" t="s">
        <v>1007</v>
      </c>
      <c r="G91" s="207" t="s">
        <v>726</v>
      </c>
      <c r="H91" s="139">
        <v>1.1000000000000001</v>
      </c>
      <c r="I91" s="702" t="str">
        <f t="shared" ref="I91" si="91">CONCATENATE(D91,F91,G91)</f>
        <v>강화유리THK=8mm㎡</v>
      </c>
      <c r="J91" s="454">
        <f>IF($G91="인","",VLOOKUP($I:$I,목록!$A:$M,8,FALSE))</f>
        <v>26447</v>
      </c>
      <c r="K91" s="454">
        <f t="shared" ref="K91" si="92">IF(J91="","",TRUNC(J91*$H91,0))</f>
        <v>29091</v>
      </c>
      <c r="L91" s="454">
        <f>IF($G91="인","",VLOOKUP($I:$I,목록!$A:$M,9,FALSE))</f>
        <v>15742</v>
      </c>
      <c r="M91" s="454">
        <f t="shared" ref="M91" si="93">IF(L91="","",TRUNC(L91*$H91,0))</f>
        <v>17316</v>
      </c>
      <c r="N91" s="454" t="str">
        <f>IF($G91="인","",VLOOKUP($I:$I,목록!$A:$M,10,FALSE))</f>
        <v/>
      </c>
      <c r="O91" s="454" t="str">
        <f t="shared" ref="O91" si="94">IF(N91="","",TRUNC(N91*$H91,0))</f>
        <v/>
      </c>
      <c r="P91" s="454">
        <f t="shared" ref="P91" si="95">SUM(K91,M91,O91)</f>
        <v>46407</v>
      </c>
      <c r="Q91" s="194"/>
      <c r="R91" s="195" t="str">
        <f>"제"&amp;VLOOKUP($I:$I,목록!$A:$M,2,FALSE)&amp;"호표"</f>
        <v>제48호표</v>
      </c>
      <c r="S91" s="698"/>
      <c r="T91" s="804"/>
      <c r="U91" s="810">
        <f t="shared" si="36"/>
        <v>46407</v>
      </c>
      <c r="V91" s="703"/>
      <c r="W91" s="703"/>
      <c r="X91" s="673" t="s">
        <v>1343</v>
      </c>
      <c r="Z91" s="741"/>
    </row>
    <row r="92" spans="1:26" s="699" customFormat="1" ht="18.75" customHeight="1" x14ac:dyDescent="0.15">
      <c r="A92" s="691"/>
      <c r="B92" s="710" t="s">
        <v>1086</v>
      </c>
      <c r="C92" s="693"/>
      <c r="D92" s="669" t="s">
        <v>1345</v>
      </c>
      <c r="E92" s="736"/>
      <c r="F92" s="669" t="s">
        <v>1346</v>
      </c>
      <c r="G92" s="737"/>
      <c r="H92" s="694">
        <v>0</v>
      </c>
      <c r="I92" s="702"/>
      <c r="J92" s="695"/>
      <c r="K92" s="695"/>
      <c r="L92" s="695"/>
      <c r="M92" s="695"/>
      <c r="N92" s="695"/>
      <c r="O92" s="695"/>
      <c r="P92" s="695"/>
      <c r="Q92" s="696"/>
      <c r="R92" s="697"/>
      <c r="S92" s="698"/>
      <c r="T92" s="804"/>
      <c r="U92" s="810">
        <f t="shared" si="36"/>
        <v>0</v>
      </c>
      <c r="V92" s="703"/>
      <c r="W92" s="703"/>
      <c r="X92" s="673"/>
      <c r="Z92" s="741"/>
    </row>
    <row r="93" spans="1:26" s="699" customFormat="1" ht="18.75" customHeight="1" x14ac:dyDescent="0.15">
      <c r="A93" s="691"/>
      <c r="B93" s="692"/>
      <c r="C93" s="693"/>
      <c r="D93" s="629" t="s">
        <v>1347</v>
      </c>
      <c r="E93" s="670"/>
      <c r="F93" s="629" t="s">
        <v>1348</v>
      </c>
      <c r="G93" s="207" t="s">
        <v>351</v>
      </c>
      <c r="H93" s="139">
        <v>9</v>
      </c>
      <c r="I93" s="702" t="str">
        <f>CONCATENATE(D93,F93,G93)</f>
        <v>카운터 데스크H:750, 내부 수납장포함m</v>
      </c>
      <c r="J93" s="695">
        <f>IF(I93="인","",VLOOKUP($I:$I,단가!$A:$S,19,FALSE))</f>
        <v>290000</v>
      </c>
      <c r="K93" s="695">
        <f t="shared" ref="K93" si="96">IF(J93="","",TRUNC(J93*$H93,0))</f>
        <v>2610000</v>
      </c>
      <c r="L93" s="695">
        <v>0</v>
      </c>
      <c r="M93" s="695">
        <f t="shared" ref="M93" si="97">IF(L93="","",TRUNC(L93*$H93,0))</f>
        <v>0</v>
      </c>
      <c r="N93" s="695">
        <v>0</v>
      </c>
      <c r="O93" s="695">
        <f t="shared" ref="O93" si="98">IF(N93="","",TRUNC(N93*$H93,0))</f>
        <v>0</v>
      </c>
      <c r="P93" s="695">
        <f t="shared" ref="P93" si="99">SUM(K93,M93,O93)</f>
        <v>2610000</v>
      </c>
      <c r="Q93" s="696"/>
      <c r="R93" s="697" t="str">
        <f>"단가"&amp;VLOOKUP($I:$I,단가!$A:$B,2,FALSE)&amp;"번"</f>
        <v>단가97번</v>
      </c>
      <c r="S93" s="698"/>
      <c r="T93" s="804"/>
      <c r="U93" s="810">
        <f t="shared" si="36"/>
        <v>2610000</v>
      </c>
      <c r="V93" s="703"/>
      <c r="W93" s="703"/>
      <c r="X93" s="673" t="s">
        <v>1350</v>
      </c>
      <c r="Z93" s="743"/>
    </row>
    <row r="94" spans="1:26" s="699" customFormat="1" ht="18.75" customHeight="1" x14ac:dyDescent="0.15">
      <c r="A94" s="691"/>
      <c r="B94" s="692"/>
      <c r="C94" s="693"/>
      <c r="D94" s="629" t="s">
        <v>1349</v>
      </c>
      <c r="E94" s="670"/>
      <c r="F94" s="629" t="s">
        <v>1420</v>
      </c>
      <c r="G94" s="207" t="s">
        <v>1304</v>
      </c>
      <c r="H94" s="139">
        <v>1</v>
      </c>
      <c r="I94" s="702" t="str">
        <f>CONCATENATE(D94,F94,G94)</f>
        <v>카운터 의자FU-10, 지정사양EA</v>
      </c>
      <c r="J94" s="695">
        <f>IF(I94="인","",VLOOKUP($I:$I,단가!$A:$S,19,FALSE))</f>
        <v>160000</v>
      </c>
      <c r="K94" s="695">
        <f t="shared" ref="K94" si="100">IF(J94="","",TRUNC(J94*$H94,0))</f>
        <v>160000</v>
      </c>
      <c r="L94" s="695">
        <v>0</v>
      </c>
      <c r="M94" s="695">
        <f t="shared" ref="M94" si="101">IF(L94="","",TRUNC(L94*$H94,0))</f>
        <v>0</v>
      </c>
      <c r="N94" s="695">
        <v>0</v>
      </c>
      <c r="O94" s="695">
        <f t="shared" ref="O94" si="102">IF(N94="","",TRUNC(N94*$H94,0))</f>
        <v>0</v>
      </c>
      <c r="P94" s="695">
        <f t="shared" ref="P94" si="103">SUM(K94,M94,O94)</f>
        <v>160000</v>
      </c>
      <c r="Q94" s="696"/>
      <c r="R94" s="697" t="str">
        <f>"단가"&amp;VLOOKUP($I:$I,단가!$A:$B,2,FALSE)&amp;"번"</f>
        <v>단가98번</v>
      </c>
      <c r="S94" s="698"/>
      <c r="T94" s="804"/>
      <c r="U94" s="810">
        <f t="shared" si="36"/>
        <v>160000</v>
      </c>
      <c r="V94" s="703"/>
      <c r="W94" s="703"/>
      <c r="X94" s="673">
        <v>1</v>
      </c>
      <c r="Z94" s="743"/>
    </row>
    <row r="95" spans="1:26" s="699" customFormat="1" ht="18.75" customHeight="1" x14ac:dyDescent="0.15">
      <c r="A95" s="691"/>
      <c r="B95" s="710" t="s">
        <v>1203</v>
      </c>
      <c r="C95" s="693"/>
      <c r="D95" s="669" t="s">
        <v>1351</v>
      </c>
      <c r="E95" s="736"/>
      <c r="F95" s="669" t="s">
        <v>1353</v>
      </c>
      <c r="G95" s="737"/>
      <c r="H95" s="694">
        <v>0</v>
      </c>
      <c r="I95" s="702"/>
      <c r="J95" s="695"/>
      <c r="K95" s="695"/>
      <c r="L95" s="695"/>
      <c r="M95" s="695"/>
      <c r="N95" s="695"/>
      <c r="O95" s="695"/>
      <c r="P95" s="695"/>
      <c r="Q95" s="696"/>
      <c r="R95" s="697"/>
      <c r="S95" s="698"/>
      <c r="T95" s="804"/>
      <c r="U95" s="810">
        <f t="shared" si="36"/>
        <v>0</v>
      </c>
      <c r="V95" s="703"/>
      <c r="W95" s="703"/>
      <c r="X95" s="673"/>
      <c r="Z95" s="741"/>
    </row>
    <row r="96" spans="1:26" s="699" customFormat="1" ht="18.75" customHeight="1" x14ac:dyDescent="0.15">
      <c r="A96" s="691"/>
      <c r="B96" s="692" t="s">
        <v>1086</v>
      </c>
      <c r="C96" s="693"/>
      <c r="D96" s="669" t="s">
        <v>1354</v>
      </c>
      <c r="E96" s="736"/>
      <c r="F96" s="707"/>
      <c r="G96" s="737"/>
      <c r="H96" s="694">
        <v>0</v>
      </c>
      <c r="I96" s="702"/>
      <c r="J96" s="695"/>
      <c r="K96" s="695"/>
      <c r="L96" s="695"/>
      <c r="M96" s="695"/>
      <c r="N96" s="695"/>
      <c r="O96" s="695"/>
      <c r="P96" s="695"/>
      <c r="Q96" s="696"/>
      <c r="R96" s="697"/>
      <c r="S96" s="698"/>
      <c r="T96" s="804"/>
      <c r="U96" s="810">
        <f t="shared" si="36"/>
        <v>0</v>
      </c>
      <c r="V96" s="703"/>
      <c r="W96" s="703"/>
      <c r="X96" s="673"/>
      <c r="Z96" s="741"/>
    </row>
    <row r="97" spans="1:26" s="699" customFormat="1" ht="18.75" customHeight="1" x14ac:dyDescent="0.15">
      <c r="A97" s="691"/>
      <c r="B97" s="692"/>
      <c r="C97" s="693"/>
      <c r="D97" s="629" t="s">
        <v>992</v>
      </c>
      <c r="E97" s="670"/>
      <c r="F97" s="629" t="s">
        <v>1296</v>
      </c>
      <c r="G97" s="207" t="s">
        <v>726</v>
      </c>
      <c r="H97" s="139">
        <v>28.56</v>
      </c>
      <c r="I97" s="702" t="str">
        <f t="shared" ref="I97" si="104">CONCATENATE(D97,F97,G97)</f>
        <v>섬유판가공취부(벽체)THK=20mm * 1PLY, 집기/하우징류㎡</v>
      </c>
      <c r="J97" s="454">
        <f>IF($G97="인","",VLOOKUP($I:$I,목록!$A:$M,8,FALSE))</f>
        <v>15938</v>
      </c>
      <c r="K97" s="454">
        <f t="shared" ref="K97" si="105">IF(J97="","",TRUNC(J97*$H97,0))</f>
        <v>455189</v>
      </c>
      <c r="L97" s="454">
        <f>IF($G97="인","",VLOOKUP($I:$I,목록!$A:$M,9,FALSE))</f>
        <v>15117</v>
      </c>
      <c r="M97" s="454">
        <f t="shared" ref="M97" si="106">IF(L97="","",TRUNC(L97*$H97,0))</f>
        <v>431741</v>
      </c>
      <c r="N97" s="454" t="str">
        <f>IF($G97="인","",VLOOKUP($I:$I,목록!$A:$M,10,FALSE))</f>
        <v/>
      </c>
      <c r="O97" s="454" t="str">
        <f t="shared" ref="O97" si="107">IF(N97="","",TRUNC(N97*$H97,0))</f>
        <v/>
      </c>
      <c r="P97" s="454">
        <f t="shared" ref="P97" si="108">SUM(K97,M97,O97)</f>
        <v>886930</v>
      </c>
      <c r="Q97" s="194"/>
      <c r="R97" s="195" t="str">
        <f>"제"&amp;VLOOKUP($I:$I,목록!$A:$M,2,FALSE)&amp;"호표"</f>
        <v>제14호표</v>
      </c>
      <c r="S97" s="698"/>
      <c r="T97" s="804"/>
      <c r="U97" s="810">
        <f t="shared" si="36"/>
        <v>886930</v>
      </c>
      <c r="V97" s="703"/>
      <c r="W97" s="703"/>
      <c r="X97" s="673" t="s">
        <v>1355</v>
      </c>
      <c r="Z97" s="741"/>
    </row>
    <row r="98" spans="1:26" s="699" customFormat="1" ht="18.75" customHeight="1" x14ac:dyDescent="0.15">
      <c r="A98" s="793"/>
      <c r="B98" s="655"/>
      <c r="C98" s="574"/>
      <c r="D98" s="601" t="s">
        <v>1001</v>
      </c>
      <c r="E98" s="632"/>
      <c r="F98" s="602" t="s">
        <v>1357</v>
      </c>
      <c r="G98" s="820" t="s">
        <v>350</v>
      </c>
      <c r="H98" s="139">
        <v>28.56</v>
      </c>
      <c r="I98" s="702" t="str">
        <f t="shared" ref="I98" si="109">CONCATENATE(D98,F98,G98)</f>
        <v>인테리어 필름 붙임넓은면, W=400이상㎡</v>
      </c>
      <c r="J98" s="454">
        <f>IF($G98="인","",VLOOKUP($I:$I,목록!$A:$M,8,FALSE))</f>
        <v>40262</v>
      </c>
      <c r="K98" s="454">
        <f t="shared" ref="K98" si="110">IF(J98="","",TRUNC(J98*$H98,0))</f>
        <v>1149882</v>
      </c>
      <c r="L98" s="454">
        <f>IF($G98="인","",VLOOKUP($I:$I,목록!$A:$M,9,FALSE))</f>
        <v>6271</v>
      </c>
      <c r="M98" s="454">
        <f t="shared" ref="M98" si="111">IF(L98="","",TRUNC(L98*$H98,0))</f>
        <v>179099</v>
      </c>
      <c r="N98" s="454" t="str">
        <f>IF($G98="인","",VLOOKUP($I:$I,목록!$A:$M,10,FALSE))</f>
        <v/>
      </c>
      <c r="O98" s="454" t="str">
        <f t="shared" ref="O98" si="112">IF(N98="","",TRUNC(N98*$H98,0))</f>
        <v/>
      </c>
      <c r="P98" s="454">
        <f t="shared" ref="P98" si="113">SUM(K98,M98,O98)</f>
        <v>1328981</v>
      </c>
      <c r="Q98" s="194"/>
      <c r="R98" s="195" t="str">
        <f>"제"&amp;VLOOKUP($I:$I,목록!$A:$M,2,FALSE)&amp;"호표"</f>
        <v>제35호표</v>
      </c>
      <c r="S98" s="153"/>
      <c r="T98" s="804"/>
      <c r="U98" s="810">
        <f t="shared" si="36"/>
        <v>1328982</v>
      </c>
      <c r="V98" s="701"/>
      <c r="W98" s="701"/>
      <c r="X98" s="673" t="s">
        <v>1355</v>
      </c>
      <c r="Z98" s="741"/>
    </row>
    <row r="99" spans="1:26" s="699" customFormat="1" ht="18.75" customHeight="1" x14ac:dyDescent="0.15">
      <c r="A99" s="691"/>
      <c r="B99" s="692" t="s">
        <v>1086</v>
      </c>
      <c r="C99" s="693"/>
      <c r="D99" s="669" t="s">
        <v>1358</v>
      </c>
      <c r="E99" s="736"/>
      <c r="F99" s="707"/>
      <c r="G99" s="737"/>
      <c r="H99" s="694">
        <v>0</v>
      </c>
      <c r="I99" s="702"/>
      <c r="J99" s="695"/>
      <c r="K99" s="695"/>
      <c r="L99" s="695"/>
      <c r="M99" s="695"/>
      <c r="N99" s="695"/>
      <c r="O99" s="695"/>
      <c r="P99" s="695"/>
      <c r="Q99" s="696"/>
      <c r="R99" s="697"/>
      <c r="S99" s="698"/>
      <c r="T99" s="804"/>
      <c r="U99" s="810">
        <f t="shared" si="36"/>
        <v>0</v>
      </c>
      <c r="V99" s="703"/>
      <c r="W99" s="703"/>
      <c r="X99" s="673"/>
      <c r="Z99" s="741"/>
    </row>
    <row r="100" spans="1:26" s="699" customFormat="1" ht="18.75" customHeight="1" x14ac:dyDescent="0.15">
      <c r="A100" s="691"/>
      <c r="B100" s="692"/>
      <c r="C100" s="693"/>
      <c r="D100" s="629" t="s">
        <v>992</v>
      </c>
      <c r="E100" s="670"/>
      <c r="F100" s="629" t="s">
        <v>1296</v>
      </c>
      <c r="G100" s="207" t="s">
        <v>726</v>
      </c>
      <c r="H100" s="139">
        <v>19.440000000000001</v>
      </c>
      <c r="I100" s="702" t="str">
        <f t="shared" ref="I100:I101" si="114">CONCATENATE(D100,F100,G100)</f>
        <v>섬유판가공취부(벽체)THK=20mm * 1PLY, 집기/하우징류㎡</v>
      </c>
      <c r="J100" s="454">
        <f>IF($G100="인","",VLOOKUP($I:$I,목록!$A:$M,8,FALSE))</f>
        <v>15938</v>
      </c>
      <c r="K100" s="454">
        <f t="shared" ref="K100:K101" si="115">IF(J100="","",TRUNC(J100*$H100,0))</f>
        <v>309834</v>
      </c>
      <c r="L100" s="454">
        <f>IF($G100="인","",VLOOKUP($I:$I,목록!$A:$M,9,FALSE))</f>
        <v>15117</v>
      </c>
      <c r="M100" s="454">
        <f t="shared" ref="M100:M101" si="116">IF(L100="","",TRUNC(L100*$H100,0))</f>
        <v>293874</v>
      </c>
      <c r="N100" s="454" t="str">
        <f>IF($G100="인","",VLOOKUP($I:$I,목록!$A:$M,10,FALSE))</f>
        <v/>
      </c>
      <c r="O100" s="454" t="str">
        <f t="shared" ref="O100:O101" si="117">IF(N100="","",TRUNC(N100*$H100,0))</f>
        <v/>
      </c>
      <c r="P100" s="454">
        <f t="shared" ref="P100:P101" si="118">SUM(K100,M100,O100)</f>
        <v>603708</v>
      </c>
      <c r="Q100" s="194"/>
      <c r="R100" s="195" t="str">
        <f>"제"&amp;VLOOKUP($I:$I,목록!$A:$M,2,FALSE)&amp;"호표"</f>
        <v>제14호표</v>
      </c>
      <c r="S100" s="698"/>
      <c r="T100" s="804"/>
      <c r="U100" s="810">
        <f t="shared" si="36"/>
        <v>603709</v>
      </c>
      <c r="V100" s="703"/>
      <c r="W100" s="703"/>
      <c r="X100" s="673" t="s">
        <v>1359</v>
      </c>
      <c r="Z100" s="741"/>
    </row>
    <row r="101" spans="1:26" s="699" customFormat="1" ht="18.75" customHeight="1" x14ac:dyDescent="0.15">
      <c r="A101" s="821"/>
      <c r="B101" s="655"/>
      <c r="C101" s="574"/>
      <c r="D101" s="601" t="s">
        <v>973</v>
      </c>
      <c r="E101" s="632"/>
      <c r="F101" s="602" t="s">
        <v>1356</v>
      </c>
      <c r="G101" s="820" t="s">
        <v>350</v>
      </c>
      <c r="H101" s="139">
        <v>40.17</v>
      </c>
      <c r="I101" s="702" t="str">
        <f t="shared" si="114"/>
        <v>인테리어 필름 붙임몰딩,프레임, W=400미만㎡</v>
      </c>
      <c r="J101" s="454">
        <f>IF($G101="인","",VLOOKUP($I:$I,목록!$A:$M,8,FALSE))</f>
        <v>47262</v>
      </c>
      <c r="K101" s="454">
        <f t="shared" si="115"/>
        <v>1898514</v>
      </c>
      <c r="L101" s="454">
        <f>IF($G101="인","",VLOOKUP($I:$I,목록!$A:$M,9,FALSE))</f>
        <v>6271</v>
      </c>
      <c r="M101" s="454">
        <f t="shared" si="116"/>
        <v>251906</v>
      </c>
      <c r="N101" s="454" t="str">
        <f>IF($G101="인","",VLOOKUP($I:$I,목록!$A:$M,10,FALSE))</f>
        <v/>
      </c>
      <c r="O101" s="454" t="str">
        <f t="shared" si="117"/>
        <v/>
      </c>
      <c r="P101" s="454">
        <f t="shared" si="118"/>
        <v>2150420</v>
      </c>
      <c r="Q101" s="194"/>
      <c r="R101" s="195" t="str">
        <f>"제"&amp;VLOOKUP($I:$I,목록!$A:$M,2,FALSE)&amp;"호표"</f>
        <v>제34호표</v>
      </c>
      <c r="S101" s="153"/>
      <c r="T101" s="804"/>
      <c r="U101" s="810">
        <f t="shared" si="36"/>
        <v>2150420</v>
      </c>
      <c r="V101" s="701"/>
      <c r="W101" s="701"/>
      <c r="X101" s="673" t="s">
        <v>1360</v>
      </c>
      <c r="Z101" s="741"/>
    </row>
    <row r="102" spans="1:26" s="699" customFormat="1" ht="18.75" customHeight="1" x14ac:dyDescent="0.15">
      <c r="A102" s="691"/>
      <c r="B102" s="692" t="s">
        <v>1086</v>
      </c>
      <c r="C102" s="693"/>
      <c r="D102" s="669" t="s">
        <v>1361</v>
      </c>
      <c r="E102" s="736"/>
      <c r="F102" s="707"/>
      <c r="G102" s="737"/>
      <c r="H102" s="694">
        <v>0</v>
      </c>
      <c r="I102" s="702"/>
      <c r="J102" s="695"/>
      <c r="K102" s="695"/>
      <c r="L102" s="695"/>
      <c r="M102" s="695"/>
      <c r="N102" s="695"/>
      <c r="O102" s="695"/>
      <c r="P102" s="695"/>
      <c r="Q102" s="696"/>
      <c r="R102" s="697"/>
      <c r="S102" s="698"/>
      <c r="T102" s="804"/>
      <c r="U102" s="810">
        <f t="shared" si="36"/>
        <v>0</v>
      </c>
      <c r="V102" s="703"/>
      <c r="W102" s="703"/>
      <c r="X102" s="673"/>
      <c r="Z102" s="741"/>
    </row>
    <row r="103" spans="1:26" s="699" customFormat="1" ht="18.75" customHeight="1" x14ac:dyDescent="0.15">
      <c r="A103" s="691"/>
      <c r="B103" s="692"/>
      <c r="C103" s="693"/>
      <c r="D103" s="629" t="s">
        <v>992</v>
      </c>
      <c r="E103" s="670"/>
      <c r="F103" s="629" t="s">
        <v>1296</v>
      </c>
      <c r="G103" s="207" t="s">
        <v>726</v>
      </c>
      <c r="H103" s="139">
        <v>21.42</v>
      </c>
      <c r="I103" s="702" t="str">
        <f t="shared" ref="I103:I104" si="119">CONCATENATE(D103,F103,G103)</f>
        <v>섬유판가공취부(벽체)THK=20mm * 1PLY, 집기/하우징류㎡</v>
      </c>
      <c r="J103" s="454">
        <f>IF($G103="인","",VLOOKUP($I:$I,목록!$A:$M,8,FALSE))</f>
        <v>15938</v>
      </c>
      <c r="K103" s="454">
        <f t="shared" ref="K103:K104" si="120">IF(J103="","",TRUNC(J103*$H103,0))</f>
        <v>341391</v>
      </c>
      <c r="L103" s="454">
        <f>IF($G103="인","",VLOOKUP($I:$I,목록!$A:$M,9,FALSE))</f>
        <v>15117</v>
      </c>
      <c r="M103" s="454">
        <f t="shared" ref="M103:M104" si="121">IF(L103="","",TRUNC(L103*$H103,0))</f>
        <v>323806</v>
      </c>
      <c r="N103" s="454" t="str">
        <f>IF($G103="인","",VLOOKUP($I:$I,목록!$A:$M,10,FALSE))</f>
        <v/>
      </c>
      <c r="O103" s="454" t="str">
        <f t="shared" ref="O103:O104" si="122">IF(N103="","",TRUNC(N103*$H103,0))</f>
        <v/>
      </c>
      <c r="P103" s="454">
        <f t="shared" ref="P103:P104" si="123">SUM(K103,M103,O103)</f>
        <v>665197</v>
      </c>
      <c r="Q103" s="194"/>
      <c r="R103" s="195" t="str">
        <f>"제"&amp;VLOOKUP($I:$I,목록!$A:$M,2,FALSE)&amp;"호표"</f>
        <v>제14호표</v>
      </c>
      <c r="S103" s="698"/>
      <c r="T103" s="804"/>
      <c r="U103" s="810">
        <f t="shared" si="36"/>
        <v>665198</v>
      </c>
      <c r="V103" s="703"/>
      <c r="W103" s="703"/>
      <c r="X103" s="673" t="s">
        <v>1362</v>
      </c>
      <c r="Z103" s="741"/>
    </row>
    <row r="104" spans="1:26" s="699" customFormat="1" ht="18.75" customHeight="1" x14ac:dyDescent="0.15">
      <c r="A104" s="821"/>
      <c r="B104" s="655"/>
      <c r="C104" s="574"/>
      <c r="D104" s="601" t="s">
        <v>973</v>
      </c>
      <c r="E104" s="632"/>
      <c r="F104" s="602" t="s">
        <v>1356</v>
      </c>
      <c r="G104" s="820" t="s">
        <v>350</v>
      </c>
      <c r="H104" s="139">
        <v>44.26</v>
      </c>
      <c r="I104" s="702" t="str">
        <f t="shared" si="119"/>
        <v>인테리어 필름 붙임몰딩,프레임, W=400미만㎡</v>
      </c>
      <c r="J104" s="454">
        <f>IF($G104="인","",VLOOKUP($I:$I,목록!$A:$M,8,FALSE))</f>
        <v>47262</v>
      </c>
      <c r="K104" s="454">
        <f t="shared" si="120"/>
        <v>2091816</v>
      </c>
      <c r="L104" s="454">
        <f>IF($G104="인","",VLOOKUP($I:$I,목록!$A:$M,9,FALSE))</f>
        <v>6271</v>
      </c>
      <c r="M104" s="454">
        <f t="shared" si="121"/>
        <v>277554</v>
      </c>
      <c r="N104" s="454" t="str">
        <f>IF($G104="인","",VLOOKUP($I:$I,목록!$A:$M,10,FALSE))</f>
        <v/>
      </c>
      <c r="O104" s="454" t="str">
        <f t="shared" si="122"/>
        <v/>
      </c>
      <c r="P104" s="454">
        <f t="shared" si="123"/>
        <v>2369370</v>
      </c>
      <c r="Q104" s="194"/>
      <c r="R104" s="195" t="str">
        <f>"제"&amp;VLOOKUP($I:$I,목록!$A:$M,2,FALSE)&amp;"호표"</f>
        <v>제34호표</v>
      </c>
      <c r="S104" s="153"/>
      <c r="T104" s="804"/>
      <c r="U104" s="810">
        <f t="shared" si="36"/>
        <v>2369370</v>
      </c>
      <c r="V104" s="701"/>
      <c r="W104" s="701"/>
      <c r="X104" s="673" t="s">
        <v>1363</v>
      </c>
      <c r="Z104" s="741"/>
    </row>
    <row r="105" spans="1:26" s="699" customFormat="1" ht="18.75" customHeight="1" x14ac:dyDescent="0.15">
      <c r="A105" s="691"/>
      <c r="B105" s="692" t="s">
        <v>1086</v>
      </c>
      <c r="C105" s="693"/>
      <c r="D105" s="669" t="s">
        <v>1364</v>
      </c>
      <c r="E105" s="736"/>
      <c r="F105" s="707"/>
      <c r="G105" s="737"/>
      <c r="H105" s="694">
        <v>0</v>
      </c>
      <c r="I105" s="702"/>
      <c r="J105" s="695"/>
      <c r="K105" s="695"/>
      <c r="L105" s="695"/>
      <c r="M105" s="695"/>
      <c r="N105" s="695"/>
      <c r="O105" s="695"/>
      <c r="P105" s="695"/>
      <c r="Q105" s="696"/>
      <c r="R105" s="697"/>
      <c r="S105" s="698"/>
      <c r="T105" s="804"/>
      <c r="U105" s="810">
        <f t="shared" si="36"/>
        <v>0</v>
      </c>
      <c r="V105" s="703"/>
      <c r="W105" s="703"/>
      <c r="X105" s="673"/>
      <c r="Z105" s="741"/>
    </row>
    <row r="106" spans="1:26" s="699" customFormat="1" ht="18.75" customHeight="1" x14ac:dyDescent="0.15">
      <c r="A106" s="691"/>
      <c r="B106" s="692"/>
      <c r="C106" s="693"/>
      <c r="D106" s="629" t="s">
        <v>434</v>
      </c>
      <c r="E106" s="670"/>
      <c r="F106" s="629" t="s">
        <v>864</v>
      </c>
      <c r="G106" s="207" t="s">
        <v>351</v>
      </c>
      <c r="H106" s="139">
        <v>47.6</v>
      </c>
      <c r="I106" s="702" t="str">
        <f t="shared" ref="I106:I107" si="124">CONCATENATE(D106,F106,G106)</f>
        <v>각파이프30*30*1.4T(S)m</v>
      </c>
      <c r="J106" s="454">
        <f>IF($G106="인","",VLOOKUP($I:$I,목록!$A:$M,8,FALSE))</f>
        <v>1821</v>
      </c>
      <c r="K106" s="454">
        <f t="shared" ref="K106:K107" si="125">IF(J106="","",TRUNC(J106*$H106,0))</f>
        <v>86679</v>
      </c>
      <c r="L106" s="454">
        <f>IF($G106="인","",VLOOKUP($I:$I,목록!$A:$M,9,FALSE))</f>
        <v>6798</v>
      </c>
      <c r="M106" s="454">
        <f t="shared" ref="M106:M107" si="126">IF(L106="","",TRUNC(L106*$H106,0))</f>
        <v>323584</v>
      </c>
      <c r="N106" s="454">
        <f>IF($G106="인","",VLOOKUP($I:$I,목록!$A:$M,10,FALSE))</f>
        <v>15</v>
      </c>
      <c r="O106" s="454">
        <f t="shared" ref="O106:O107" si="127">IF(N106="","",TRUNC(N106*$H106,0))</f>
        <v>714</v>
      </c>
      <c r="P106" s="454">
        <f t="shared" ref="P106:P107" si="128">SUM(K106,M106,O106)</f>
        <v>410977</v>
      </c>
      <c r="Q106" s="194"/>
      <c r="R106" s="195" t="str">
        <f>"제"&amp;VLOOKUP($I:$I,목록!$A:$M,2,FALSE)&amp;"호표"</f>
        <v>제20호표</v>
      </c>
      <c r="S106" s="698"/>
      <c r="T106" s="804"/>
      <c r="U106" s="810">
        <f t="shared" si="36"/>
        <v>410978</v>
      </c>
      <c r="V106" s="703"/>
      <c r="W106" s="703"/>
      <c r="X106" s="673" t="s">
        <v>1365</v>
      </c>
      <c r="Z106" s="741"/>
    </row>
    <row r="107" spans="1:26" s="699" customFormat="1" ht="18.75" customHeight="1" x14ac:dyDescent="0.15">
      <c r="A107" s="691"/>
      <c r="B107" s="692"/>
      <c r="C107" s="693"/>
      <c r="D107" s="629" t="s">
        <v>992</v>
      </c>
      <c r="E107" s="670"/>
      <c r="F107" s="629" t="s">
        <v>1296</v>
      </c>
      <c r="G107" s="207" t="s">
        <v>726</v>
      </c>
      <c r="H107" s="139">
        <v>0.95</v>
      </c>
      <c r="I107" s="702" t="str">
        <f t="shared" si="124"/>
        <v>섬유판가공취부(벽체)THK=20mm * 1PLY, 집기/하우징류㎡</v>
      </c>
      <c r="J107" s="454">
        <f>IF($G107="인","",VLOOKUP($I:$I,목록!$A:$M,8,FALSE))</f>
        <v>15938</v>
      </c>
      <c r="K107" s="454">
        <f t="shared" si="125"/>
        <v>15141</v>
      </c>
      <c r="L107" s="454">
        <f>IF($G107="인","",VLOOKUP($I:$I,목록!$A:$M,9,FALSE))</f>
        <v>15117</v>
      </c>
      <c r="M107" s="454">
        <f t="shared" si="126"/>
        <v>14361</v>
      </c>
      <c r="N107" s="454" t="str">
        <f>IF($G107="인","",VLOOKUP($I:$I,목록!$A:$M,10,FALSE))</f>
        <v/>
      </c>
      <c r="O107" s="454" t="str">
        <f t="shared" si="127"/>
        <v/>
      </c>
      <c r="P107" s="454">
        <f t="shared" si="128"/>
        <v>29502</v>
      </c>
      <c r="Q107" s="194"/>
      <c r="R107" s="195" t="str">
        <f>"제"&amp;VLOOKUP($I:$I,목록!$A:$M,2,FALSE)&amp;"호표"</f>
        <v>제14호표</v>
      </c>
      <c r="S107" s="698"/>
      <c r="T107" s="804"/>
      <c r="U107" s="810">
        <f t="shared" si="36"/>
        <v>29502</v>
      </c>
      <c r="V107" s="703"/>
      <c r="W107" s="703"/>
      <c r="X107" s="673" t="s">
        <v>1366</v>
      </c>
      <c r="Z107" s="741"/>
    </row>
    <row r="108" spans="1:26" s="699" customFormat="1" ht="18.75" customHeight="1" x14ac:dyDescent="0.15">
      <c r="A108" s="815"/>
      <c r="B108" s="655"/>
      <c r="C108" s="574"/>
      <c r="D108" s="601" t="s">
        <v>973</v>
      </c>
      <c r="E108" s="632"/>
      <c r="F108" s="602" t="s">
        <v>1356</v>
      </c>
      <c r="G108" s="820" t="s">
        <v>350</v>
      </c>
      <c r="H108" s="139">
        <v>0.95</v>
      </c>
      <c r="I108" s="702" t="str">
        <f t="shared" ref="I108:I129" si="129">CONCATENATE(D108,F108,G108)</f>
        <v>인테리어 필름 붙임몰딩,프레임, W=400미만㎡</v>
      </c>
      <c r="J108" s="454">
        <f>IF($G108="인","",VLOOKUP($I:$I,목록!$A:$M,8,FALSE))</f>
        <v>47262</v>
      </c>
      <c r="K108" s="454">
        <f t="shared" ref="K108" si="130">IF(J108="","",TRUNC(J108*$H108,0))</f>
        <v>44898</v>
      </c>
      <c r="L108" s="454">
        <f>IF($G108="인","",VLOOKUP($I:$I,목록!$A:$M,9,FALSE))</f>
        <v>6271</v>
      </c>
      <c r="M108" s="454">
        <f t="shared" ref="M108" si="131">IF(L108="","",TRUNC(L108*$H108,0))</f>
        <v>5957</v>
      </c>
      <c r="N108" s="454" t="str">
        <f>IF($G108="인","",VLOOKUP($I:$I,목록!$A:$M,10,FALSE))</f>
        <v/>
      </c>
      <c r="O108" s="454" t="str">
        <f t="shared" ref="O108" si="132">IF(N108="","",TRUNC(N108*$H108,0))</f>
        <v/>
      </c>
      <c r="P108" s="454">
        <f t="shared" ref="P108" si="133">SUM(K108,M108,O108)</f>
        <v>50855</v>
      </c>
      <c r="Q108" s="194"/>
      <c r="R108" s="195" t="str">
        <f>"제"&amp;VLOOKUP($I:$I,목록!$A:$M,2,FALSE)&amp;"호표"</f>
        <v>제34호표</v>
      </c>
      <c r="S108" s="153"/>
      <c r="T108" s="804"/>
      <c r="U108" s="810">
        <f t="shared" si="36"/>
        <v>50856</v>
      </c>
      <c r="V108" s="701"/>
      <c r="W108" s="701"/>
      <c r="X108" s="673" t="s">
        <v>1366</v>
      </c>
      <c r="Z108" s="741"/>
    </row>
    <row r="109" spans="1:26" s="699" customFormat="1" ht="18.75" customHeight="1" x14ac:dyDescent="0.15">
      <c r="A109" s="691"/>
      <c r="B109" s="692" t="s">
        <v>1086</v>
      </c>
      <c r="C109" s="693"/>
      <c r="D109" s="669" t="s">
        <v>1370</v>
      </c>
      <c r="E109" s="736"/>
      <c r="F109" s="707"/>
      <c r="G109" s="737"/>
      <c r="H109" s="694">
        <v>0</v>
      </c>
      <c r="I109" s="702"/>
      <c r="J109" s="695"/>
      <c r="K109" s="695"/>
      <c r="L109" s="695"/>
      <c r="M109" s="695"/>
      <c r="N109" s="695"/>
      <c r="O109" s="695"/>
      <c r="P109" s="695"/>
      <c r="Q109" s="696"/>
      <c r="R109" s="697"/>
      <c r="S109" s="698"/>
      <c r="T109" s="804"/>
      <c r="U109" s="810">
        <f t="shared" si="36"/>
        <v>0</v>
      </c>
      <c r="V109" s="703"/>
      <c r="W109" s="703"/>
      <c r="X109" s="673"/>
      <c r="Z109" s="741"/>
    </row>
    <row r="110" spans="1:26" s="699" customFormat="1" ht="18.75" customHeight="1" x14ac:dyDescent="0.15">
      <c r="A110" s="691"/>
      <c r="B110" s="692"/>
      <c r="C110" s="693"/>
      <c r="D110" s="629" t="s">
        <v>992</v>
      </c>
      <c r="E110" s="670"/>
      <c r="F110" s="629" t="s">
        <v>1296</v>
      </c>
      <c r="G110" s="207" t="s">
        <v>726</v>
      </c>
      <c r="H110" s="139">
        <v>7.34</v>
      </c>
      <c r="I110" s="702" t="str">
        <f t="shared" ref="I110:I112" si="134">CONCATENATE(D110,F110,G110)</f>
        <v>섬유판가공취부(벽체)THK=20mm * 1PLY, 집기/하우징류㎡</v>
      </c>
      <c r="J110" s="454">
        <f>IF($G110="인","",VLOOKUP($I:$I,목록!$A:$M,8,FALSE))</f>
        <v>15938</v>
      </c>
      <c r="K110" s="454">
        <f t="shared" ref="K110:K112" si="135">IF(J110="","",TRUNC(J110*$H110,0))</f>
        <v>116984</v>
      </c>
      <c r="L110" s="454">
        <f>IF($G110="인","",VLOOKUP($I:$I,목록!$A:$M,9,FALSE))</f>
        <v>15117</v>
      </c>
      <c r="M110" s="454">
        <f t="shared" ref="M110:M112" si="136">IF(L110="","",TRUNC(L110*$H110,0))</f>
        <v>110958</v>
      </c>
      <c r="N110" s="454" t="str">
        <f>IF($G110="인","",VLOOKUP($I:$I,목록!$A:$M,10,FALSE))</f>
        <v/>
      </c>
      <c r="O110" s="454" t="str">
        <f t="shared" ref="O110:O112" si="137">IF(N110="","",TRUNC(N110*$H110,0))</f>
        <v/>
      </c>
      <c r="P110" s="454">
        <f t="shared" ref="P110:P112" si="138">SUM(K110,M110,O110)</f>
        <v>227942</v>
      </c>
      <c r="Q110" s="194"/>
      <c r="R110" s="195" t="str">
        <f>"제"&amp;VLOOKUP($I:$I,목록!$A:$M,2,FALSE)&amp;"호표"</f>
        <v>제14호표</v>
      </c>
      <c r="S110" s="698"/>
      <c r="T110" s="804"/>
      <c r="U110" s="810">
        <f t="shared" si="36"/>
        <v>227943</v>
      </c>
      <c r="V110" s="703"/>
      <c r="W110" s="703"/>
      <c r="X110" s="673" t="s">
        <v>1383</v>
      </c>
      <c r="Z110" s="741"/>
    </row>
    <row r="111" spans="1:26" s="699" customFormat="1" ht="18.75" customHeight="1" x14ac:dyDescent="0.15">
      <c r="A111" s="821"/>
      <c r="B111" s="655"/>
      <c r="C111" s="574"/>
      <c r="D111" s="601" t="s">
        <v>973</v>
      </c>
      <c r="E111" s="632"/>
      <c r="F111" s="602" t="s">
        <v>1356</v>
      </c>
      <c r="G111" s="820" t="s">
        <v>350</v>
      </c>
      <c r="H111" s="139">
        <v>14.69</v>
      </c>
      <c r="I111" s="702" t="str">
        <f t="shared" si="134"/>
        <v>인테리어 필름 붙임몰딩,프레임, W=400미만㎡</v>
      </c>
      <c r="J111" s="454">
        <f>IF($G111="인","",VLOOKUP($I:$I,목록!$A:$M,8,FALSE))</f>
        <v>47262</v>
      </c>
      <c r="K111" s="454">
        <f t="shared" si="135"/>
        <v>694278</v>
      </c>
      <c r="L111" s="454">
        <f>IF($G111="인","",VLOOKUP($I:$I,목록!$A:$M,9,FALSE))</f>
        <v>6271</v>
      </c>
      <c r="M111" s="454">
        <f t="shared" si="136"/>
        <v>92120</v>
      </c>
      <c r="N111" s="454" t="str">
        <f>IF($G111="인","",VLOOKUP($I:$I,목록!$A:$M,10,FALSE))</f>
        <v/>
      </c>
      <c r="O111" s="454" t="str">
        <f t="shared" si="137"/>
        <v/>
      </c>
      <c r="P111" s="454">
        <f t="shared" si="138"/>
        <v>786398</v>
      </c>
      <c r="Q111" s="194"/>
      <c r="R111" s="195" t="str">
        <f>"제"&amp;VLOOKUP($I:$I,목록!$A:$M,2,FALSE)&amp;"호표"</f>
        <v>제34호표</v>
      </c>
      <c r="S111" s="153"/>
      <c r="T111" s="804"/>
      <c r="U111" s="810">
        <f t="shared" si="36"/>
        <v>786399</v>
      </c>
      <c r="V111" s="701"/>
      <c r="W111" s="701"/>
      <c r="X111" s="673" t="s">
        <v>1382</v>
      </c>
      <c r="Z111" s="741"/>
    </row>
    <row r="112" spans="1:26" s="699" customFormat="1" ht="18.75" customHeight="1" x14ac:dyDescent="0.15">
      <c r="A112" s="821"/>
      <c r="B112" s="655"/>
      <c r="C112" s="574"/>
      <c r="D112" s="629" t="s">
        <v>1371</v>
      </c>
      <c r="E112" s="670"/>
      <c r="F112" s="629" t="s">
        <v>1372</v>
      </c>
      <c r="G112" s="207" t="s">
        <v>1373</v>
      </c>
      <c r="H112" s="139">
        <v>27</v>
      </c>
      <c r="I112" s="702" t="str">
        <f t="shared" si="134"/>
        <v>여닫이 DOOR설치경첩 및 기타철물 포함개소</v>
      </c>
      <c r="J112" s="454">
        <f>IF(I112="인","",VLOOKUP($I:$I,단가!$A:$S,19,FALSE))</f>
        <v>48000</v>
      </c>
      <c r="K112" s="454">
        <f t="shared" si="135"/>
        <v>1296000</v>
      </c>
      <c r="L112" s="454">
        <v>0</v>
      </c>
      <c r="M112" s="454">
        <f t="shared" si="136"/>
        <v>0</v>
      </c>
      <c r="N112" s="454">
        <v>0</v>
      </c>
      <c r="O112" s="454">
        <f t="shared" si="137"/>
        <v>0</v>
      </c>
      <c r="P112" s="454">
        <f t="shared" si="138"/>
        <v>1296000</v>
      </c>
      <c r="Q112" s="194"/>
      <c r="R112" s="195" t="str">
        <f>"단가"&amp;VLOOKUP($I:$I,단가!$A:$B,2,FALSE)&amp;"번"</f>
        <v>단가99번</v>
      </c>
      <c r="S112" s="153"/>
      <c r="T112" s="804"/>
      <c r="U112" s="810">
        <f t="shared" si="36"/>
        <v>1296000</v>
      </c>
      <c r="V112" s="701"/>
      <c r="W112" s="701"/>
      <c r="X112" s="673" t="s">
        <v>1374</v>
      </c>
      <c r="Z112" s="741"/>
    </row>
    <row r="113" spans="1:26" s="699" customFormat="1" ht="18.75" customHeight="1" x14ac:dyDescent="0.15">
      <c r="A113" s="691"/>
      <c r="B113" s="710" t="s">
        <v>1367</v>
      </c>
      <c r="C113" s="693"/>
      <c r="D113" s="669" t="s">
        <v>1368</v>
      </c>
      <c r="E113" s="736"/>
      <c r="F113" s="669" t="s">
        <v>1369</v>
      </c>
      <c r="G113" s="737"/>
      <c r="H113" s="694">
        <v>0</v>
      </c>
      <c r="I113" s="702"/>
      <c r="J113" s="695"/>
      <c r="K113" s="695"/>
      <c r="L113" s="695"/>
      <c r="M113" s="695"/>
      <c r="N113" s="695"/>
      <c r="O113" s="695"/>
      <c r="P113" s="695"/>
      <c r="Q113" s="696"/>
      <c r="R113" s="697"/>
      <c r="S113" s="698"/>
      <c r="T113" s="804"/>
      <c r="U113" s="810">
        <f t="shared" si="36"/>
        <v>0</v>
      </c>
      <c r="V113" s="703"/>
      <c r="W113" s="703"/>
      <c r="X113" s="673"/>
      <c r="Z113" s="741"/>
    </row>
    <row r="114" spans="1:26" s="699" customFormat="1" ht="18.75" customHeight="1" x14ac:dyDescent="0.15">
      <c r="A114" s="691"/>
      <c r="B114" s="692" t="s">
        <v>1086</v>
      </c>
      <c r="C114" s="693"/>
      <c r="D114" s="669" t="s">
        <v>1358</v>
      </c>
      <c r="E114" s="736"/>
      <c r="F114" s="707"/>
      <c r="G114" s="737"/>
      <c r="H114" s="694">
        <v>0</v>
      </c>
      <c r="I114" s="702"/>
      <c r="J114" s="695"/>
      <c r="K114" s="695"/>
      <c r="L114" s="695"/>
      <c r="M114" s="695"/>
      <c r="N114" s="695"/>
      <c r="O114" s="695"/>
      <c r="P114" s="695"/>
      <c r="Q114" s="696"/>
      <c r="R114" s="697"/>
      <c r="S114" s="698"/>
      <c r="T114" s="804"/>
      <c r="U114" s="810">
        <f t="shared" si="36"/>
        <v>0</v>
      </c>
      <c r="V114" s="703"/>
      <c r="W114" s="703"/>
      <c r="X114" s="673"/>
      <c r="Z114" s="741"/>
    </row>
    <row r="115" spans="1:26" s="699" customFormat="1" ht="18.75" customHeight="1" x14ac:dyDescent="0.15">
      <c r="A115" s="691"/>
      <c r="B115" s="692"/>
      <c r="C115" s="693"/>
      <c r="D115" s="629" t="s">
        <v>992</v>
      </c>
      <c r="E115" s="670"/>
      <c r="F115" s="629" t="s">
        <v>1296</v>
      </c>
      <c r="G115" s="207" t="s">
        <v>726</v>
      </c>
      <c r="H115" s="139">
        <v>11.52</v>
      </c>
      <c r="I115" s="702" t="str">
        <f t="shared" ref="I115:I116" si="139">CONCATENATE(D115,F115,G115)</f>
        <v>섬유판가공취부(벽체)THK=20mm * 1PLY, 집기/하우징류㎡</v>
      </c>
      <c r="J115" s="454">
        <f>IF($G115="인","",VLOOKUP($I:$I,목록!$A:$M,8,FALSE))</f>
        <v>15938</v>
      </c>
      <c r="K115" s="454">
        <f t="shared" ref="K115:K116" si="140">IF(J115="","",TRUNC(J115*$H115,0))</f>
        <v>183605</v>
      </c>
      <c r="L115" s="454">
        <f>IF($G115="인","",VLOOKUP($I:$I,목록!$A:$M,9,FALSE))</f>
        <v>15117</v>
      </c>
      <c r="M115" s="454">
        <f t="shared" ref="M115:M116" si="141">IF(L115="","",TRUNC(L115*$H115,0))</f>
        <v>174147</v>
      </c>
      <c r="N115" s="454" t="str">
        <f>IF($G115="인","",VLOOKUP($I:$I,목록!$A:$M,10,FALSE))</f>
        <v/>
      </c>
      <c r="O115" s="454" t="str">
        <f t="shared" ref="O115:O116" si="142">IF(N115="","",TRUNC(N115*$H115,0))</f>
        <v/>
      </c>
      <c r="P115" s="454">
        <f t="shared" ref="P115:P116" si="143">SUM(K115,M115,O115)</f>
        <v>357752</v>
      </c>
      <c r="Q115" s="194"/>
      <c r="R115" s="195" t="str">
        <f>"제"&amp;VLOOKUP($I:$I,목록!$A:$M,2,FALSE)&amp;"호표"</f>
        <v>제14호표</v>
      </c>
      <c r="S115" s="698"/>
      <c r="T115" s="804"/>
      <c r="U115" s="810">
        <f t="shared" si="36"/>
        <v>357753</v>
      </c>
      <c r="V115" s="703"/>
      <c r="W115" s="703"/>
      <c r="X115" s="673" t="s">
        <v>1375</v>
      </c>
      <c r="Z115" s="741"/>
    </row>
    <row r="116" spans="1:26" s="699" customFormat="1" ht="18.75" customHeight="1" x14ac:dyDescent="0.15">
      <c r="A116" s="821"/>
      <c r="B116" s="655"/>
      <c r="C116" s="574"/>
      <c r="D116" s="601" t="s">
        <v>973</v>
      </c>
      <c r="E116" s="632"/>
      <c r="F116" s="602" t="s">
        <v>1356</v>
      </c>
      <c r="G116" s="820" t="s">
        <v>350</v>
      </c>
      <c r="H116" s="139">
        <v>24.19</v>
      </c>
      <c r="I116" s="702" t="str">
        <f t="shared" si="139"/>
        <v>인테리어 필름 붙임몰딩,프레임, W=400미만㎡</v>
      </c>
      <c r="J116" s="454">
        <f>IF($G116="인","",VLOOKUP($I:$I,목록!$A:$M,8,FALSE))</f>
        <v>47262</v>
      </c>
      <c r="K116" s="454">
        <f t="shared" si="140"/>
        <v>1143267</v>
      </c>
      <c r="L116" s="454">
        <f>IF($G116="인","",VLOOKUP($I:$I,목록!$A:$M,9,FALSE))</f>
        <v>6271</v>
      </c>
      <c r="M116" s="454">
        <f t="shared" si="141"/>
        <v>151695</v>
      </c>
      <c r="N116" s="454" t="str">
        <f>IF($G116="인","",VLOOKUP($I:$I,목록!$A:$M,10,FALSE))</f>
        <v/>
      </c>
      <c r="O116" s="454" t="str">
        <f t="shared" si="142"/>
        <v/>
      </c>
      <c r="P116" s="454">
        <f t="shared" si="143"/>
        <v>1294962</v>
      </c>
      <c r="Q116" s="194"/>
      <c r="R116" s="195" t="str">
        <f>"제"&amp;VLOOKUP($I:$I,목록!$A:$M,2,FALSE)&amp;"호표"</f>
        <v>제34호표</v>
      </c>
      <c r="S116" s="153"/>
      <c r="T116" s="804"/>
      <c r="U116" s="810">
        <f t="shared" si="36"/>
        <v>1294963</v>
      </c>
      <c r="V116" s="701"/>
      <c r="W116" s="701"/>
      <c r="X116" s="673" t="s">
        <v>1376</v>
      </c>
      <c r="Z116" s="741"/>
    </row>
    <row r="117" spans="1:26" s="699" customFormat="1" ht="18.75" customHeight="1" x14ac:dyDescent="0.15">
      <c r="A117" s="691"/>
      <c r="B117" s="692" t="s">
        <v>1086</v>
      </c>
      <c r="C117" s="693"/>
      <c r="D117" s="669" t="s">
        <v>1361</v>
      </c>
      <c r="E117" s="736"/>
      <c r="F117" s="707"/>
      <c r="G117" s="737"/>
      <c r="H117" s="694">
        <v>0</v>
      </c>
      <c r="I117" s="702"/>
      <c r="J117" s="695"/>
      <c r="K117" s="695"/>
      <c r="L117" s="695"/>
      <c r="M117" s="695"/>
      <c r="N117" s="695"/>
      <c r="O117" s="695"/>
      <c r="P117" s="695"/>
      <c r="Q117" s="696"/>
      <c r="R117" s="697"/>
      <c r="S117" s="698"/>
      <c r="T117" s="804"/>
      <c r="U117" s="810">
        <f t="shared" si="36"/>
        <v>0</v>
      </c>
      <c r="V117" s="703"/>
      <c r="W117" s="703"/>
      <c r="X117" s="673"/>
      <c r="Z117" s="741"/>
    </row>
    <row r="118" spans="1:26" s="699" customFormat="1" ht="18.75" customHeight="1" x14ac:dyDescent="0.15">
      <c r="A118" s="691"/>
      <c r="B118" s="692"/>
      <c r="C118" s="693"/>
      <c r="D118" s="629" t="s">
        <v>992</v>
      </c>
      <c r="E118" s="670"/>
      <c r="F118" s="629" t="s">
        <v>1296</v>
      </c>
      <c r="G118" s="207" t="s">
        <v>726</v>
      </c>
      <c r="H118" s="139">
        <v>6.96</v>
      </c>
      <c r="I118" s="702" t="str">
        <f t="shared" ref="I118:I119" si="144">CONCATENATE(D118,F118,G118)</f>
        <v>섬유판가공취부(벽체)THK=20mm * 1PLY, 집기/하우징류㎡</v>
      </c>
      <c r="J118" s="454">
        <f>IF($G118="인","",VLOOKUP($I:$I,목록!$A:$M,8,FALSE))</f>
        <v>15938</v>
      </c>
      <c r="K118" s="454">
        <f t="shared" ref="K118:K119" si="145">IF(J118="","",TRUNC(J118*$H118,0))</f>
        <v>110928</v>
      </c>
      <c r="L118" s="454">
        <f>IF($G118="인","",VLOOKUP($I:$I,목록!$A:$M,9,FALSE))</f>
        <v>15117</v>
      </c>
      <c r="M118" s="454">
        <f t="shared" ref="M118:M119" si="146">IF(L118="","",TRUNC(L118*$H118,0))</f>
        <v>105214</v>
      </c>
      <c r="N118" s="454" t="str">
        <f>IF($G118="인","",VLOOKUP($I:$I,목록!$A:$M,10,FALSE))</f>
        <v/>
      </c>
      <c r="O118" s="454" t="str">
        <f t="shared" ref="O118:O119" si="147">IF(N118="","",TRUNC(N118*$H118,0))</f>
        <v/>
      </c>
      <c r="P118" s="454">
        <f t="shared" ref="P118:P119" si="148">SUM(K118,M118,O118)</f>
        <v>216142</v>
      </c>
      <c r="Q118" s="194"/>
      <c r="R118" s="195" t="str">
        <f>"제"&amp;VLOOKUP($I:$I,목록!$A:$M,2,FALSE)&amp;"호표"</f>
        <v>제14호표</v>
      </c>
      <c r="S118" s="698"/>
      <c r="T118" s="804"/>
      <c r="U118" s="810">
        <f t="shared" si="36"/>
        <v>216142</v>
      </c>
      <c r="V118" s="703"/>
      <c r="W118" s="703"/>
      <c r="X118" s="673" t="s">
        <v>1377</v>
      </c>
      <c r="Z118" s="741"/>
    </row>
    <row r="119" spans="1:26" s="699" customFormat="1" ht="18.75" customHeight="1" x14ac:dyDescent="0.15">
      <c r="A119" s="821"/>
      <c r="B119" s="655"/>
      <c r="C119" s="574"/>
      <c r="D119" s="601" t="s">
        <v>973</v>
      </c>
      <c r="E119" s="632"/>
      <c r="F119" s="602" t="s">
        <v>1356</v>
      </c>
      <c r="G119" s="820" t="s">
        <v>350</v>
      </c>
      <c r="H119" s="139">
        <v>14.61</v>
      </c>
      <c r="I119" s="702" t="str">
        <f t="shared" si="144"/>
        <v>인테리어 필름 붙임몰딩,프레임, W=400미만㎡</v>
      </c>
      <c r="J119" s="454">
        <f>IF($G119="인","",VLOOKUP($I:$I,목록!$A:$M,8,FALSE))</f>
        <v>47262</v>
      </c>
      <c r="K119" s="454">
        <f t="shared" si="145"/>
        <v>690497</v>
      </c>
      <c r="L119" s="454">
        <f>IF($G119="인","",VLOOKUP($I:$I,목록!$A:$M,9,FALSE))</f>
        <v>6271</v>
      </c>
      <c r="M119" s="454">
        <f t="shared" si="146"/>
        <v>91619</v>
      </c>
      <c r="N119" s="454" t="str">
        <f>IF($G119="인","",VLOOKUP($I:$I,목록!$A:$M,10,FALSE))</f>
        <v/>
      </c>
      <c r="O119" s="454" t="str">
        <f t="shared" si="147"/>
        <v/>
      </c>
      <c r="P119" s="454">
        <f t="shared" si="148"/>
        <v>782116</v>
      </c>
      <c r="Q119" s="194"/>
      <c r="R119" s="195" t="str">
        <f>"제"&amp;VLOOKUP($I:$I,목록!$A:$M,2,FALSE)&amp;"호표"</f>
        <v>제34호표</v>
      </c>
      <c r="S119" s="153"/>
      <c r="T119" s="804"/>
      <c r="U119" s="810">
        <f t="shared" si="36"/>
        <v>782117</v>
      </c>
      <c r="V119" s="701"/>
      <c r="W119" s="701"/>
      <c r="X119" s="673" t="s">
        <v>1378</v>
      </c>
      <c r="Z119" s="741"/>
    </row>
    <row r="120" spans="1:26" s="699" customFormat="1" ht="18.75" customHeight="1" x14ac:dyDescent="0.15">
      <c r="A120" s="691"/>
      <c r="B120" s="692" t="s">
        <v>1086</v>
      </c>
      <c r="C120" s="693"/>
      <c r="D120" s="669" t="s">
        <v>1364</v>
      </c>
      <c r="E120" s="736"/>
      <c r="F120" s="707"/>
      <c r="G120" s="737"/>
      <c r="H120" s="694">
        <v>0</v>
      </c>
      <c r="I120" s="702"/>
      <c r="J120" s="695"/>
      <c r="K120" s="695"/>
      <c r="L120" s="695"/>
      <c r="M120" s="695"/>
      <c r="N120" s="695"/>
      <c r="O120" s="695"/>
      <c r="P120" s="695"/>
      <c r="Q120" s="696"/>
      <c r="R120" s="697"/>
      <c r="S120" s="698"/>
      <c r="T120" s="804"/>
      <c r="U120" s="810">
        <f t="shared" si="36"/>
        <v>0</v>
      </c>
      <c r="V120" s="703"/>
      <c r="W120" s="703"/>
      <c r="X120" s="673"/>
      <c r="Z120" s="741"/>
    </row>
    <row r="121" spans="1:26" s="699" customFormat="1" ht="18.75" customHeight="1" x14ac:dyDescent="0.15">
      <c r="A121" s="691"/>
      <c r="B121" s="692"/>
      <c r="C121" s="693"/>
      <c r="D121" s="629" t="s">
        <v>434</v>
      </c>
      <c r="E121" s="670"/>
      <c r="F121" s="629" t="s">
        <v>864</v>
      </c>
      <c r="G121" s="207" t="s">
        <v>351</v>
      </c>
      <c r="H121" s="139">
        <v>11.6</v>
      </c>
      <c r="I121" s="702" t="str">
        <f t="shared" ref="I121:I123" si="149">CONCATENATE(D121,F121,G121)</f>
        <v>각파이프30*30*1.4T(S)m</v>
      </c>
      <c r="J121" s="454">
        <f>IF($G121="인","",VLOOKUP($I:$I,목록!$A:$M,8,FALSE))</f>
        <v>1821</v>
      </c>
      <c r="K121" s="454">
        <f t="shared" ref="K121:K123" si="150">IF(J121="","",TRUNC(J121*$H121,0))</f>
        <v>21123</v>
      </c>
      <c r="L121" s="454">
        <f>IF($G121="인","",VLOOKUP($I:$I,목록!$A:$M,9,FALSE))</f>
        <v>6798</v>
      </c>
      <c r="M121" s="454">
        <f t="shared" ref="M121:M123" si="151">IF(L121="","",TRUNC(L121*$H121,0))</f>
        <v>78856</v>
      </c>
      <c r="N121" s="454">
        <f>IF($G121="인","",VLOOKUP($I:$I,목록!$A:$M,10,FALSE))</f>
        <v>15</v>
      </c>
      <c r="O121" s="454">
        <f t="shared" ref="O121:O123" si="152">IF(N121="","",TRUNC(N121*$H121,0))</f>
        <v>174</v>
      </c>
      <c r="P121" s="454">
        <f t="shared" ref="P121:P123" si="153">SUM(K121,M121,O121)</f>
        <v>100153</v>
      </c>
      <c r="Q121" s="194"/>
      <c r="R121" s="195" t="str">
        <f>"제"&amp;VLOOKUP($I:$I,목록!$A:$M,2,FALSE)&amp;"호표"</f>
        <v>제20호표</v>
      </c>
      <c r="S121" s="698"/>
      <c r="T121" s="804"/>
      <c r="U121" s="810">
        <f t="shared" si="36"/>
        <v>100154</v>
      </c>
      <c r="V121" s="703"/>
      <c r="W121" s="703"/>
      <c r="X121" s="673" t="s">
        <v>1379</v>
      </c>
      <c r="Z121" s="741"/>
    </row>
    <row r="122" spans="1:26" s="699" customFormat="1" ht="18.75" customHeight="1" x14ac:dyDescent="0.15">
      <c r="A122" s="691"/>
      <c r="B122" s="692"/>
      <c r="C122" s="693"/>
      <c r="D122" s="629" t="s">
        <v>992</v>
      </c>
      <c r="E122" s="670"/>
      <c r="F122" s="629" t="s">
        <v>1296</v>
      </c>
      <c r="G122" s="207" t="s">
        <v>726</v>
      </c>
      <c r="H122" s="139">
        <v>0.46</v>
      </c>
      <c r="I122" s="702" t="str">
        <f t="shared" si="149"/>
        <v>섬유판가공취부(벽체)THK=20mm * 1PLY, 집기/하우징류㎡</v>
      </c>
      <c r="J122" s="454">
        <f>IF($G122="인","",VLOOKUP($I:$I,목록!$A:$M,8,FALSE))</f>
        <v>15938</v>
      </c>
      <c r="K122" s="454">
        <f t="shared" si="150"/>
        <v>7331</v>
      </c>
      <c r="L122" s="454">
        <f>IF($G122="인","",VLOOKUP($I:$I,목록!$A:$M,9,FALSE))</f>
        <v>15117</v>
      </c>
      <c r="M122" s="454">
        <f t="shared" si="151"/>
        <v>6953</v>
      </c>
      <c r="N122" s="454" t="str">
        <f>IF($G122="인","",VLOOKUP($I:$I,목록!$A:$M,10,FALSE))</f>
        <v/>
      </c>
      <c r="O122" s="454" t="str">
        <f t="shared" si="152"/>
        <v/>
      </c>
      <c r="P122" s="454">
        <f t="shared" si="153"/>
        <v>14284</v>
      </c>
      <c r="Q122" s="194"/>
      <c r="R122" s="195" t="str">
        <f>"제"&amp;VLOOKUP($I:$I,목록!$A:$M,2,FALSE)&amp;"호표"</f>
        <v>제14호표</v>
      </c>
      <c r="S122" s="698"/>
      <c r="T122" s="804"/>
      <c r="U122" s="810">
        <f t="shared" si="36"/>
        <v>14285</v>
      </c>
      <c r="V122" s="703"/>
      <c r="W122" s="703"/>
      <c r="X122" s="673" t="s">
        <v>1380</v>
      </c>
      <c r="Z122" s="741"/>
    </row>
    <row r="123" spans="1:26" s="699" customFormat="1" ht="18.75" customHeight="1" x14ac:dyDescent="0.15">
      <c r="A123" s="821"/>
      <c r="B123" s="655"/>
      <c r="C123" s="574"/>
      <c r="D123" s="601" t="s">
        <v>973</v>
      </c>
      <c r="E123" s="632"/>
      <c r="F123" s="602" t="s">
        <v>1356</v>
      </c>
      <c r="G123" s="820" t="s">
        <v>350</v>
      </c>
      <c r="H123" s="139">
        <v>0.46</v>
      </c>
      <c r="I123" s="702" t="str">
        <f t="shared" si="149"/>
        <v>인테리어 필름 붙임몰딩,프레임, W=400미만㎡</v>
      </c>
      <c r="J123" s="454">
        <f>IF($G123="인","",VLOOKUP($I:$I,목록!$A:$M,8,FALSE))</f>
        <v>47262</v>
      </c>
      <c r="K123" s="454">
        <f t="shared" si="150"/>
        <v>21740</v>
      </c>
      <c r="L123" s="454">
        <f>IF($G123="인","",VLOOKUP($I:$I,목록!$A:$M,9,FALSE))</f>
        <v>6271</v>
      </c>
      <c r="M123" s="454">
        <f t="shared" si="151"/>
        <v>2884</v>
      </c>
      <c r="N123" s="454" t="str">
        <f>IF($G123="인","",VLOOKUP($I:$I,목록!$A:$M,10,FALSE))</f>
        <v/>
      </c>
      <c r="O123" s="454" t="str">
        <f t="shared" si="152"/>
        <v/>
      </c>
      <c r="P123" s="454">
        <f t="shared" si="153"/>
        <v>24624</v>
      </c>
      <c r="Q123" s="194"/>
      <c r="R123" s="195" t="str">
        <f>"제"&amp;VLOOKUP($I:$I,목록!$A:$M,2,FALSE)&amp;"호표"</f>
        <v>제34호표</v>
      </c>
      <c r="S123" s="153"/>
      <c r="T123" s="804"/>
      <c r="U123" s="810">
        <f t="shared" si="36"/>
        <v>24625</v>
      </c>
      <c r="V123" s="701"/>
      <c r="W123" s="701"/>
      <c r="X123" s="673" t="s">
        <v>1380</v>
      </c>
      <c r="Z123" s="741"/>
    </row>
    <row r="124" spans="1:26" s="699" customFormat="1" ht="18.75" customHeight="1" x14ac:dyDescent="0.15">
      <c r="A124" s="691"/>
      <c r="B124" s="692" t="s">
        <v>1086</v>
      </c>
      <c r="C124" s="693"/>
      <c r="D124" s="669" t="s">
        <v>1370</v>
      </c>
      <c r="E124" s="736"/>
      <c r="F124" s="707"/>
      <c r="G124" s="737"/>
      <c r="H124" s="694">
        <v>0</v>
      </c>
      <c r="I124" s="702"/>
      <c r="J124" s="695"/>
      <c r="K124" s="695"/>
      <c r="L124" s="695"/>
      <c r="M124" s="695"/>
      <c r="N124" s="695"/>
      <c r="O124" s="695"/>
      <c r="P124" s="695"/>
      <c r="Q124" s="696"/>
      <c r="R124" s="697"/>
      <c r="S124" s="698"/>
      <c r="T124" s="804"/>
      <c r="U124" s="810">
        <f t="shared" si="36"/>
        <v>0</v>
      </c>
      <c r="V124" s="703"/>
      <c r="W124" s="703"/>
      <c r="X124" s="673"/>
      <c r="Z124" s="741"/>
    </row>
    <row r="125" spans="1:26" s="699" customFormat="1" ht="18.75" customHeight="1" x14ac:dyDescent="0.15">
      <c r="A125" s="691"/>
      <c r="B125" s="692"/>
      <c r="C125" s="693"/>
      <c r="D125" s="629" t="s">
        <v>992</v>
      </c>
      <c r="E125" s="670"/>
      <c r="F125" s="629" t="s">
        <v>1296</v>
      </c>
      <c r="G125" s="207" t="s">
        <v>726</v>
      </c>
      <c r="H125" s="139">
        <v>4.0599999999999996</v>
      </c>
      <c r="I125" s="702" t="str">
        <f t="shared" ref="I125:I127" si="154">CONCATENATE(D125,F125,G125)</f>
        <v>섬유판가공취부(벽체)THK=20mm * 1PLY, 집기/하우징류㎡</v>
      </c>
      <c r="J125" s="454">
        <f>IF($G125="인","",VLOOKUP($I:$I,목록!$A:$M,8,FALSE))</f>
        <v>15938</v>
      </c>
      <c r="K125" s="454">
        <f t="shared" ref="K125:K127" si="155">IF(J125="","",TRUNC(J125*$H125,0))</f>
        <v>64708</v>
      </c>
      <c r="L125" s="454">
        <f>IF($G125="인","",VLOOKUP($I:$I,목록!$A:$M,9,FALSE))</f>
        <v>15117</v>
      </c>
      <c r="M125" s="454">
        <f t="shared" ref="M125:M127" si="156">IF(L125="","",TRUNC(L125*$H125,0))</f>
        <v>61375</v>
      </c>
      <c r="N125" s="454" t="str">
        <f>IF($G125="인","",VLOOKUP($I:$I,목록!$A:$M,10,FALSE))</f>
        <v/>
      </c>
      <c r="O125" s="454" t="str">
        <f t="shared" ref="O125:O127" si="157">IF(N125="","",TRUNC(N125*$H125,0))</f>
        <v/>
      </c>
      <c r="P125" s="454">
        <f t="shared" ref="P125:P127" si="158">SUM(K125,M125,O125)</f>
        <v>126083</v>
      </c>
      <c r="Q125" s="194"/>
      <c r="R125" s="195" t="str">
        <f>"제"&amp;VLOOKUP($I:$I,목록!$A:$M,2,FALSE)&amp;"호표"</f>
        <v>제14호표</v>
      </c>
      <c r="S125" s="698"/>
      <c r="T125" s="804"/>
      <c r="U125" s="810">
        <f t="shared" si="36"/>
        <v>126083</v>
      </c>
      <c r="V125" s="703"/>
      <c r="W125" s="703"/>
      <c r="X125" s="673" t="s">
        <v>1381</v>
      </c>
      <c r="Z125" s="741"/>
    </row>
    <row r="126" spans="1:26" s="699" customFormat="1" ht="18.75" customHeight="1" x14ac:dyDescent="0.15">
      <c r="A126" s="821"/>
      <c r="B126" s="655"/>
      <c r="C126" s="574"/>
      <c r="D126" s="601" t="s">
        <v>973</v>
      </c>
      <c r="E126" s="632"/>
      <c r="F126" s="602" t="s">
        <v>1356</v>
      </c>
      <c r="G126" s="820" t="s">
        <v>350</v>
      </c>
      <c r="H126" s="139">
        <v>8.1199999999999992</v>
      </c>
      <c r="I126" s="702" t="str">
        <f t="shared" si="154"/>
        <v>인테리어 필름 붙임몰딩,프레임, W=400미만㎡</v>
      </c>
      <c r="J126" s="454">
        <f>IF($G126="인","",VLOOKUP($I:$I,목록!$A:$M,8,FALSE))</f>
        <v>47262</v>
      </c>
      <c r="K126" s="454">
        <f t="shared" si="155"/>
        <v>383767</v>
      </c>
      <c r="L126" s="454">
        <f>IF($G126="인","",VLOOKUP($I:$I,목록!$A:$M,9,FALSE))</f>
        <v>6271</v>
      </c>
      <c r="M126" s="454">
        <f t="shared" si="156"/>
        <v>50920</v>
      </c>
      <c r="N126" s="454" t="str">
        <f>IF($G126="인","",VLOOKUP($I:$I,목록!$A:$M,10,FALSE))</f>
        <v/>
      </c>
      <c r="O126" s="454" t="str">
        <f t="shared" si="157"/>
        <v/>
      </c>
      <c r="P126" s="454">
        <f t="shared" si="158"/>
        <v>434687</v>
      </c>
      <c r="Q126" s="194"/>
      <c r="R126" s="195" t="str">
        <f>"제"&amp;VLOOKUP($I:$I,목록!$A:$M,2,FALSE)&amp;"호표"</f>
        <v>제34호표</v>
      </c>
      <c r="S126" s="153"/>
      <c r="T126" s="804"/>
      <c r="U126" s="810">
        <f t="shared" si="36"/>
        <v>434687</v>
      </c>
      <c r="V126" s="701"/>
      <c r="W126" s="701"/>
      <c r="X126" s="673" t="s">
        <v>1384</v>
      </c>
      <c r="Z126" s="741"/>
    </row>
    <row r="127" spans="1:26" s="699" customFormat="1" ht="18.75" customHeight="1" x14ac:dyDescent="0.15">
      <c r="A127" s="821"/>
      <c r="B127" s="655"/>
      <c r="C127" s="574"/>
      <c r="D127" s="629" t="s">
        <v>1371</v>
      </c>
      <c r="E127" s="670"/>
      <c r="F127" s="629" t="s">
        <v>1372</v>
      </c>
      <c r="G127" s="207" t="s">
        <v>1373</v>
      </c>
      <c r="H127" s="139">
        <v>16</v>
      </c>
      <c r="I127" s="702" t="str">
        <f t="shared" si="154"/>
        <v>여닫이 DOOR설치경첩 및 기타철물 포함개소</v>
      </c>
      <c r="J127" s="454">
        <f>IF(I127="인","",VLOOKUP($I:$I,단가!$A:$S,19,FALSE))</f>
        <v>48000</v>
      </c>
      <c r="K127" s="454">
        <f t="shared" si="155"/>
        <v>768000</v>
      </c>
      <c r="L127" s="454">
        <v>0</v>
      </c>
      <c r="M127" s="454">
        <f t="shared" si="156"/>
        <v>0</v>
      </c>
      <c r="N127" s="454">
        <v>0</v>
      </c>
      <c r="O127" s="454">
        <f t="shared" si="157"/>
        <v>0</v>
      </c>
      <c r="P127" s="454">
        <f t="shared" si="158"/>
        <v>768000</v>
      </c>
      <c r="Q127" s="194"/>
      <c r="R127" s="195" t="str">
        <f>"단가"&amp;VLOOKUP($I:$I,단가!$A:$B,2,FALSE)&amp;"번"</f>
        <v>단가99번</v>
      </c>
      <c r="S127" s="153"/>
      <c r="T127" s="804"/>
      <c r="U127" s="810">
        <f t="shared" si="36"/>
        <v>768000</v>
      </c>
      <c r="V127" s="701"/>
      <c r="W127" s="701"/>
      <c r="X127" s="673" t="s">
        <v>1385</v>
      </c>
      <c r="Z127" s="741"/>
    </row>
    <row r="128" spans="1:26" s="699" customFormat="1" ht="18.75" customHeight="1" x14ac:dyDescent="0.15">
      <c r="A128" s="691"/>
      <c r="B128" s="710" t="s">
        <v>1386</v>
      </c>
      <c r="C128" s="693"/>
      <c r="D128" s="669" t="s">
        <v>1387</v>
      </c>
      <c r="E128" s="736"/>
      <c r="F128" s="669" t="s">
        <v>1388</v>
      </c>
      <c r="G128" s="737"/>
      <c r="H128" s="694">
        <v>0</v>
      </c>
      <c r="I128" s="702"/>
      <c r="J128" s="695"/>
      <c r="K128" s="695"/>
      <c r="L128" s="695"/>
      <c r="M128" s="695"/>
      <c r="N128" s="695"/>
      <c r="O128" s="695"/>
      <c r="P128" s="695"/>
      <c r="Q128" s="696"/>
      <c r="R128" s="697"/>
      <c r="S128" s="698"/>
      <c r="T128" s="804"/>
      <c r="U128" s="810">
        <f t="shared" si="36"/>
        <v>0</v>
      </c>
      <c r="V128" s="703"/>
      <c r="W128" s="703"/>
      <c r="X128" s="673"/>
      <c r="Z128" s="741"/>
    </row>
    <row r="129" spans="1:26" s="699" customFormat="1" ht="18.75" customHeight="1" x14ac:dyDescent="0.15">
      <c r="A129" s="815"/>
      <c r="B129" s="655"/>
      <c r="C129" s="574"/>
      <c r="D129" s="629" t="s">
        <v>1389</v>
      </c>
      <c r="E129" s="670"/>
      <c r="F129" s="629" t="s">
        <v>1390</v>
      </c>
      <c r="G129" s="207" t="s">
        <v>1391</v>
      </c>
      <c r="H129" s="139">
        <v>1</v>
      </c>
      <c r="I129" s="702" t="str">
        <f t="shared" si="129"/>
        <v>수납 테이블(제작사양)5195*600*1050, 하이그로시도장마감SET</v>
      </c>
      <c r="J129" s="454">
        <f>IF(I129="인","",VLOOKUP($I:$I,단가!$A:$S,19,FALSE))</f>
        <v>3500000</v>
      </c>
      <c r="K129" s="454">
        <f t="shared" ref="K129" si="159">IF(J129="","",TRUNC(J129*$H129,0))</f>
        <v>3500000</v>
      </c>
      <c r="L129" s="454">
        <v>0</v>
      </c>
      <c r="M129" s="454">
        <f t="shared" ref="M129" si="160">IF(L129="","",TRUNC(L129*$H129,0))</f>
        <v>0</v>
      </c>
      <c r="N129" s="454">
        <v>0</v>
      </c>
      <c r="O129" s="454">
        <f t="shared" ref="O129" si="161">IF(N129="","",TRUNC(N129*$H129,0))</f>
        <v>0</v>
      </c>
      <c r="P129" s="454">
        <f t="shared" ref="P129" si="162">SUM(K129,M129,O129)</f>
        <v>3500000</v>
      </c>
      <c r="Q129" s="194"/>
      <c r="R129" s="195" t="str">
        <f>"단가"&amp;VLOOKUP($I:$I,단가!$A:$B,2,FALSE)&amp;"번"</f>
        <v>단가100번</v>
      </c>
      <c r="S129" s="153"/>
      <c r="T129" s="804"/>
      <c r="U129" s="810">
        <f t="shared" si="36"/>
        <v>3500000</v>
      </c>
      <c r="V129" s="701"/>
      <c r="W129" s="701"/>
      <c r="X129" s="673" t="s">
        <v>1392</v>
      </c>
      <c r="Z129" s="741"/>
    </row>
    <row r="130" spans="1:26" s="699" customFormat="1" ht="18.75" customHeight="1" x14ac:dyDescent="0.15">
      <c r="A130" s="691"/>
      <c r="B130" s="710" t="s">
        <v>1393</v>
      </c>
      <c r="C130" s="693"/>
      <c r="D130" s="669" t="s">
        <v>1387</v>
      </c>
      <c r="E130" s="736"/>
      <c r="F130" s="669" t="s">
        <v>1396</v>
      </c>
      <c r="G130" s="737"/>
      <c r="H130" s="694">
        <v>0</v>
      </c>
      <c r="I130" s="702"/>
      <c r="J130" s="695"/>
      <c r="K130" s="695"/>
      <c r="L130" s="695"/>
      <c r="M130" s="695"/>
      <c r="N130" s="695"/>
      <c r="O130" s="695"/>
      <c r="P130" s="695"/>
      <c r="Q130" s="696"/>
      <c r="R130" s="697"/>
      <c r="S130" s="698"/>
      <c r="T130" s="804"/>
      <c r="U130" s="810">
        <f t="shared" si="36"/>
        <v>0</v>
      </c>
      <c r="V130" s="703"/>
      <c r="W130" s="703"/>
      <c r="X130" s="673"/>
      <c r="Z130" s="741"/>
    </row>
    <row r="131" spans="1:26" s="699" customFormat="1" ht="18.75" customHeight="1" x14ac:dyDescent="0.15">
      <c r="A131" s="821"/>
      <c r="B131" s="655"/>
      <c r="C131" s="574"/>
      <c r="D131" s="629" t="s">
        <v>1389</v>
      </c>
      <c r="E131" s="670"/>
      <c r="F131" s="629" t="s">
        <v>1394</v>
      </c>
      <c r="G131" s="207" t="s">
        <v>1391</v>
      </c>
      <c r="H131" s="139">
        <v>1</v>
      </c>
      <c r="I131" s="702" t="str">
        <f t="shared" ref="I131" si="163">CONCATENATE(D131,F131,G131)</f>
        <v>수납 테이블(제작사양)2545*600*1000, 하이그로시도장마감SET</v>
      </c>
      <c r="J131" s="454">
        <f>IF(I131="인","",VLOOKUP($I:$I,단가!$A:$S,19,FALSE))</f>
        <v>1800000</v>
      </c>
      <c r="K131" s="454">
        <f t="shared" ref="K131" si="164">IF(J131="","",TRUNC(J131*$H131,0))</f>
        <v>1800000</v>
      </c>
      <c r="L131" s="454">
        <v>0</v>
      </c>
      <c r="M131" s="454">
        <f t="shared" ref="M131" si="165">IF(L131="","",TRUNC(L131*$H131,0))</f>
        <v>0</v>
      </c>
      <c r="N131" s="454">
        <v>0</v>
      </c>
      <c r="O131" s="454">
        <f t="shared" ref="O131" si="166">IF(N131="","",TRUNC(N131*$H131,0))</f>
        <v>0</v>
      </c>
      <c r="P131" s="454">
        <f t="shared" ref="P131" si="167">SUM(K131,M131,O131)</f>
        <v>1800000</v>
      </c>
      <c r="Q131" s="194"/>
      <c r="R131" s="195" t="str">
        <f>"단가"&amp;VLOOKUP($I:$I,단가!$A:$B,2,FALSE)&amp;"번"</f>
        <v>단가101번</v>
      </c>
      <c r="S131" s="153"/>
      <c r="T131" s="804"/>
      <c r="U131" s="810">
        <f t="shared" si="36"/>
        <v>1800000</v>
      </c>
      <c r="V131" s="701"/>
      <c r="W131" s="701"/>
      <c r="X131" s="673" t="s">
        <v>1392</v>
      </c>
      <c r="Z131" s="741"/>
    </row>
    <row r="132" spans="1:26" s="699" customFormat="1" ht="18.75" customHeight="1" x14ac:dyDescent="0.15">
      <c r="A132" s="821"/>
      <c r="B132" s="655"/>
      <c r="C132" s="574"/>
      <c r="D132" s="629" t="s">
        <v>1389</v>
      </c>
      <c r="E132" s="670"/>
      <c r="F132" s="629" t="s">
        <v>1397</v>
      </c>
      <c r="G132" s="207" t="s">
        <v>1391</v>
      </c>
      <c r="H132" s="139">
        <v>1</v>
      </c>
      <c r="I132" s="702" t="str">
        <f t="shared" ref="I132" si="168">CONCATENATE(D132,F132,G132)</f>
        <v>수납 테이블(제작사양)1700*600*1000, 하이그로시도장마감SET</v>
      </c>
      <c r="J132" s="454">
        <f>IF(I132="인","",VLOOKUP($I:$I,단가!$A:$S,19,FALSE))</f>
        <v>1200000</v>
      </c>
      <c r="K132" s="454">
        <f t="shared" ref="K132" si="169">IF(J132="","",TRUNC(J132*$H132,0))</f>
        <v>1200000</v>
      </c>
      <c r="L132" s="454">
        <v>0</v>
      </c>
      <c r="M132" s="454">
        <f t="shared" ref="M132" si="170">IF(L132="","",TRUNC(L132*$H132,0))</f>
        <v>0</v>
      </c>
      <c r="N132" s="454">
        <v>0</v>
      </c>
      <c r="O132" s="454">
        <f t="shared" ref="O132" si="171">IF(N132="","",TRUNC(N132*$H132,0))</f>
        <v>0</v>
      </c>
      <c r="P132" s="454">
        <f t="shared" ref="P132" si="172">SUM(K132,M132,O132)</f>
        <v>1200000</v>
      </c>
      <c r="Q132" s="194"/>
      <c r="R132" s="195" t="str">
        <f>"단가"&amp;VLOOKUP($I:$I,단가!$A:$B,2,FALSE)&amp;"번"</f>
        <v>단가102번</v>
      </c>
      <c r="S132" s="153"/>
      <c r="T132" s="804"/>
      <c r="U132" s="810">
        <f t="shared" si="36"/>
        <v>1200000</v>
      </c>
      <c r="V132" s="701"/>
      <c r="W132" s="701"/>
      <c r="X132" s="673" t="s">
        <v>1392</v>
      </c>
      <c r="Z132" s="741"/>
    </row>
    <row r="133" spans="1:26" s="699" customFormat="1" ht="18.75" customHeight="1" x14ac:dyDescent="0.15">
      <c r="A133" s="691"/>
      <c r="B133" s="710" t="s">
        <v>1395</v>
      </c>
      <c r="C133" s="693"/>
      <c r="D133" s="669" t="s">
        <v>1398</v>
      </c>
      <c r="E133" s="736"/>
      <c r="F133" s="669" t="s">
        <v>1408</v>
      </c>
      <c r="G133" s="737"/>
      <c r="H133" s="694">
        <v>0</v>
      </c>
      <c r="I133" s="702"/>
      <c r="J133" s="695"/>
      <c r="K133" s="695"/>
      <c r="L133" s="695"/>
      <c r="M133" s="695"/>
      <c r="N133" s="695"/>
      <c r="O133" s="695"/>
      <c r="P133" s="695"/>
      <c r="Q133" s="696"/>
      <c r="R133" s="697"/>
      <c r="S133" s="698"/>
      <c r="T133" s="804"/>
      <c r="U133" s="810">
        <f t="shared" si="36"/>
        <v>0</v>
      </c>
      <c r="V133" s="703"/>
      <c r="W133" s="703"/>
      <c r="X133" s="673"/>
      <c r="Z133" s="741"/>
    </row>
    <row r="134" spans="1:26" s="699" customFormat="1" ht="18.75" customHeight="1" x14ac:dyDescent="0.15">
      <c r="A134" s="691"/>
      <c r="B134" s="692"/>
      <c r="C134" s="693"/>
      <c r="D134" s="629" t="s">
        <v>1399</v>
      </c>
      <c r="E134" s="670"/>
      <c r="F134" s="629" t="s">
        <v>1400</v>
      </c>
      <c r="G134" s="207" t="s">
        <v>881</v>
      </c>
      <c r="H134" s="139">
        <v>6</v>
      </c>
      <c r="I134" s="702" t="str">
        <f t="shared" ref="I134" si="173">CONCATENATE(D134,F134,G134)</f>
        <v>지정 쇼파1800*700*808, 지정사양SET</v>
      </c>
      <c r="J134" s="454">
        <f>IF(I134="인","",VLOOKUP($I:$I,단가!$A:$S,19,FALSE))</f>
        <v>900000</v>
      </c>
      <c r="K134" s="454">
        <f t="shared" ref="K134" si="174">IF(J134="","",TRUNC(J134*$H134,0))</f>
        <v>5400000</v>
      </c>
      <c r="L134" s="454">
        <v>0</v>
      </c>
      <c r="M134" s="454">
        <f t="shared" ref="M134" si="175">IF(L134="","",TRUNC(L134*$H134,0))</f>
        <v>0</v>
      </c>
      <c r="N134" s="454">
        <v>0</v>
      </c>
      <c r="O134" s="454">
        <f t="shared" ref="O134" si="176">IF(N134="","",TRUNC(N134*$H134,0))</f>
        <v>0</v>
      </c>
      <c r="P134" s="454">
        <f t="shared" ref="P134" si="177">SUM(K134,M134,O134)</f>
        <v>5400000</v>
      </c>
      <c r="Q134" s="194"/>
      <c r="R134" s="195" t="str">
        <f>"단가"&amp;VLOOKUP($I:$I,단가!$A:$B,2,FALSE)&amp;"번"</f>
        <v>단가103번</v>
      </c>
      <c r="S134" s="153"/>
      <c r="T134" s="804"/>
      <c r="U134" s="810">
        <f t="shared" si="36"/>
        <v>5400000</v>
      </c>
      <c r="V134" s="703"/>
      <c r="W134" s="703"/>
      <c r="X134" s="673" t="s">
        <v>1403</v>
      </c>
      <c r="Z134" s="741"/>
    </row>
    <row r="135" spans="1:26" s="699" customFormat="1" ht="18.75" customHeight="1" x14ac:dyDescent="0.15">
      <c r="A135" s="691"/>
      <c r="B135" s="710" t="s">
        <v>1401</v>
      </c>
      <c r="C135" s="693"/>
      <c r="D135" s="669" t="s">
        <v>1402</v>
      </c>
      <c r="E135" s="736"/>
      <c r="F135" s="669" t="s">
        <v>1404</v>
      </c>
      <c r="G135" s="737"/>
      <c r="H135" s="694">
        <v>0</v>
      </c>
      <c r="I135" s="702"/>
      <c r="J135" s="695"/>
      <c r="K135" s="695"/>
      <c r="L135" s="695"/>
      <c r="M135" s="695"/>
      <c r="N135" s="695"/>
      <c r="O135" s="695"/>
      <c r="P135" s="695"/>
      <c r="Q135" s="696"/>
      <c r="R135" s="697"/>
      <c r="S135" s="698"/>
      <c r="T135" s="804"/>
      <c r="U135" s="810">
        <f t="shared" si="36"/>
        <v>0</v>
      </c>
      <c r="V135" s="703"/>
      <c r="W135" s="703"/>
      <c r="X135" s="673"/>
      <c r="Z135" s="741"/>
    </row>
    <row r="136" spans="1:26" s="699" customFormat="1" ht="18.75" customHeight="1" x14ac:dyDescent="0.15">
      <c r="A136" s="821"/>
      <c r="B136" s="655"/>
      <c r="C136" s="574"/>
      <c r="D136" s="629" t="s">
        <v>1405</v>
      </c>
      <c r="E136" s="670"/>
      <c r="F136" s="629" t="s">
        <v>1406</v>
      </c>
      <c r="G136" s="207" t="s">
        <v>1391</v>
      </c>
      <c r="H136" s="139">
        <v>2</v>
      </c>
      <c r="I136" s="702" t="str">
        <f t="shared" ref="I136" si="178">CONCATENATE(D136,F136,G136)</f>
        <v>이동식 테이블(제작사양)1500*700*700, 하이그로시도장마감SET</v>
      </c>
      <c r="J136" s="454">
        <f>IF(I136="인","",VLOOKUP($I:$I,단가!$A:$S,19,FALSE))</f>
        <v>1100000</v>
      </c>
      <c r="K136" s="454">
        <f t="shared" ref="K136" si="179">IF(J136="","",TRUNC(J136*$H136,0))</f>
        <v>2200000</v>
      </c>
      <c r="L136" s="454">
        <v>0</v>
      </c>
      <c r="M136" s="454">
        <f t="shared" ref="M136" si="180">IF(L136="","",TRUNC(L136*$H136,0))</f>
        <v>0</v>
      </c>
      <c r="N136" s="454">
        <v>0</v>
      </c>
      <c r="O136" s="454">
        <f t="shared" ref="O136" si="181">IF(N136="","",TRUNC(N136*$H136,0))</f>
        <v>0</v>
      </c>
      <c r="P136" s="454">
        <f t="shared" ref="P136" si="182">SUM(K136,M136,O136)</f>
        <v>2200000</v>
      </c>
      <c r="Q136" s="194"/>
      <c r="R136" s="195" t="str">
        <f>"단가"&amp;VLOOKUP($I:$I,단가!$A:$B,2,FALSE)&amp;"번"</f>
        <v>단가104번</v>
      </c>
      <c r="S136" s="153"/>
      <c r="T136" s="804"/>
      <c r="U136" s="810">
        <f t="shared" si="36"/>
        <v>2200000</v>
      </c>
      <c r="V136" s="701"/>
      <c r="W136" s="701"/>
      <c r="X136" s="673" t="s">
        <v>1407</v>
      </c>
      <c r="Z136" s="741"/>
    </row>
    <row r="137" spans="1:26" s="699" customFormat="1" ht="18.75" customHeight="1" x14ac:dyDescent="0.15">
      <c r="A137" s="691"/>
      <c r="B137" s="710" t="s">
        <v>1409</v>
      </c>
      <c r="C137" s="693"/>
      <c r="D137" s="669" t="s">
        <v>1410</v>
      </c>
      <c r="E137" s="736"/>
      <c r="F137" s="669" t="s">
        <v>1411</v>
      </c>
      <c r="G137" s="737"/>
      <c r="H137" s="694">
        <v>0</v>
      </c>
      <c r="I137" s="702"/>
      <c r="J137" s="695"/>
      <c r="K137" s="695"/>
      <c r="L137" s="695"/>
      <c r="M137" s="695"/>
      <c r="N137" s="695"/>
      <c r="O137" s="695"/>
      <c r="P137" s="695"/>
      <c r="Q137" s="696"/>
      <c r="R137" s="697"/>
      <c r="S137" s="698"/>
      <c r="T137" s="804"/>
      <c r="U137" s="810">
        <f t="shared" si="36"/>
        <v>0</v>
      </c>
      <c r="V137" s="703"/>
      <c r="W137" s="703"/>
      <c r="X137" s="673"/>
      <c r="Z137" s="741"/>
    </row>
    <row r="138" spans="1:26" s="699" customFormat="1" ht="18.75" customHeight="1" x14ac:dyDescent="0.15">
      <c r="A138" s="691"/>
      <c r="B138" s="692"/>
      <c r="C138" s="693"/>
      <c r="D138" s="629" t="s">
        <v>1413</v>
      </c>
      <c r="E138" s="670"/>
      <c r="F138" s="629" t="s">
        <v>1412</v>
      </c>
      <c r="G138" s="207" t="s">
        <v>1304</v>
      </c>
      <c r="H138" s="139">
        <v>15</v>
      </c>
      <c r="I138" s="702" t="str">
        <f>CONCATENATE(D138,F138,G138)</f>
        <v>모듈형 목재락커장300*300*300내외, 넘버락EA</v>
      </c>
      <c r="J138" s="454">
        <f>IF(I138="인","",VLOOKUP($I:$I,단가!$A:$S,19,FALSE))</f>
        <v>110000</v>
      </c>
      <c r="K138" s="454">
        <f t="shared" ref="K138" si="183">IF(J138="","",TRUNC(J138*$H138,0))</f>
        <v>1650000</v>
      </c>
      <c r="L138" s="454">
        <v>0</v>
      </c>
      <c r="M138" s="454">
        <f t="shared" ref="M138" si="184">IF(L138="","",TRUNC(L138*$H138,0))</f>
        <v>0</v>
      </c>
      <c r="N138" s="454">
        <v>0</v>
      </c>
      <c r="O138" s="454">
        <f t="shared" ref="O138" si="185">IF(N138="","",TRUNC(N138*$H138,0))</f>
        <v>0</v>
      </c>
      <c r="P138" s="454">
        <f t="shared" ref="P138" si="186">SUM(K138,M138,O138)</f>
        <v>1650000</v>
      </c>
      <c r="Q138" s="194"/>
      <c r="R138" s="195" t="str">
        <f>"단가"&amp;VLOOKUP($I:$I,단가!$A:$B,2,FALSE)&amp;"번"</f>
        <v>단가105번</v>
      </c>
      <c r="S138" s="698"/>
      <c r="T138" s="804"/>
      <c r="U138" s="810">
        <f t="shared" ref="U138:U181" si="187">TRUNC(SUM(J138,L138,N138)*H138)</f>
        <v>1650000</v>
      </c>
      <c r="V138" s="703"/>
      <c r="W138" s="703"/>
      <c r="X138" s="673" t="s">
        <v>1414</v>
      </c>
      <c r="Z138" s="741"/>
    </row>
    <row r="139" spans="1:26" s="699" customFormat="1" ht="18.75" customHeight="1" x14ac:dyDescent="0.15">
      <c r="A139" s="691"/>
      <c r="B139" s="710" t="s">
        <v>1415</v>
      </c>
      <c r="C139" s="693"/>
      <c r="D139" s="669" t="s">
        <v>1416</v>
      </c>
      <c r="E139" s="736"/>
      <c r="F139" s="669" t="s">
        <v>1423</v>
      </c>
      <c r="G139" s="737"/>
      <c r="H139" s="694">
        <v>0</v>
      </c>
      <c r="I139" s="702"/>
      <c r="J139" s="695"/>
      <c r="K139" s="695"/>
      <c r="L139" s="695"/>
      <c r="M139" s="695"/>
      <c r="N139" s="695"/>
      <c r="O139" s="695"/>
      <c r="P139" s="695"/>
      <c r="Q139" s="696"/>
      <c r="R139" s="697"/>
      <c r="S139" s="698"/>
      <c r="T139" s="804"/>
      <c r="U139" s="810">
        <f t="shared" si="187"/>
        <v>0</v>
      </c>
      <c r="V139" s="703"/>
      <c r="W139" s="703"/>
      <c r="X139" s="673"/>
      <c r="Z139" s="741"/>
    </row>
    <row r="140" spans="1:26" s="699" customFormat="1" ht="18.75" customHeight="1" x14ac:dyDescent="0.15">
      <c r="A140" s="691"/>
      <c r="B140" s="692"/>
      <c r="C140" s="693"/>
      <c r="D140" s="629" t="s">
        <v>1417</v>
      </c>
      <c r="E140" s="670"/>
      <c r="F140" s="629" t="s">
        <v>1418</v>
      </c>
      <c r="G140" s="207" t="s">
        <v>1304</v>
      </c>
      <c r="H140" s="139">
        <v>1</v>
      </c>
      <c r="I140" s="702" t="str">
        <f>CONCATENATE(D140,F140,G140)</f>
        <v>휴지통지정사양EA</v>
      </c>
      <c r="J140" s="454">
        <f>IF(I140="인","",VLOOKUP($I:$I,단가!$A:$S,19,FALSE))</f>
        <v>250000</v>
      </c>
      <c r="K140" s="454">
        <f t="shared" ref="K140" si="188">IF(J140="","",TRUNC(J140*$H140,0))</f>
        <v>250000</v>
      </c>
      <c r="L140" s="454">
        <v>0</v>
      </c>
      <c r="M140" s="454">
        <f t="shared" ref="M140" si="189">IF(L140="","",TRUNC(L140*$H140,0))</f>
        <v>0</v>
      </c>
      <c r="N140" s="454">
        <v>0</v>
      </c>
      <c r="O140" s="454">
        <f t="shared" ref="O140" si="190">IF(N140="","",TRUNC(N140*$H140,0))</f>
        <v>0</v>
      </c>
      <c r="P140" s="454">
        <f t="shared" ref="P140" si="191">SUM(K140,M140,O140)</f>
        <v>250000</v>
      </c>
      <c r="Q140" s="194"/>
      <c r="R140" s="195" t="str">
        <f>"단가"&amp;VLOOKUP($I:$I,단가!$A:$B,2,FALSE)&amp;"번"</f>
        <v>단가106번</v>
      </c>
      <c r="S140" s="698"/>
      <c r="T140" s="804"/>
      <c r="U140" s="810">
        <f t="shared" si="187"/>
        <v>250000</v>
      </c>
      <c r="V140" s="703"/>
      <c r="W140" s="703"/>
      <c r="X140" s="673" t="s">
        <v>1419</v>
      </c>
      <c r="Z140" s="741"/>
    </row>
    <row r="141" spans="1:26" s="699" customFormat="1" ht="18.75" customHeight="1" x14ac:dyDescent="0.15">
      <c r="A141" s="691"/>
      <c r="B141" s="710" t="s">
        <v>1421</v>
      </c>
      <c r="C141" s="693"/>
      <c r="D141" s="669" t="s">
        <v>1425</v>
      </c>
      <c r="E141" s="736"/>
      <c r="F141" s="669" t="s">
        <v>1424</v>
      </c>
      <c r="G141" s="737"/>
      <c r="H141" s="694">
        <v>0</v>
      </c>
      <c r="I141" s="702"/>
      <c r="J141" s="695"/>
      <c r="K141" s="695"/>
      <c r="L141" s="695"/>
      <c r="M141" s="695"/>
      <c r="N141" s="695"/>
      <c r="O141" s="695"/>
      <c r="P141" s="695"/>
      <c r="Q141" s="696"/>
      <c r="R141" s="697"/>
      <c r="S141" s="698"/>
      <c r="T141" s="804"/>
      <c r="U141" s="810">
        <f t="shared" si="187"/>
        <v>0</v>
      </c>
      <c r="V141" s="703"/>
      <c r="W141" s="703"/>
      <c r="X141" s="673"/>
      <c r="Z141" s="741"/>
    </row>
    <row r="142" spans="1:26" s="699" customFormat="1" ht="18.75" customHeight="1" x14ac:dyDescent="0.15">
      <c r="A142" s="691"/>
      <c r="B142" s="692"/>
      <c r="C142" s="693"/>
      <c r="D142" s="629" t="s">
        <v>1428</v>
      </c>
      <c r="E142" s="670"/>
      <c r="F142" s="629" t="s">
        <v>1429</v>
      </c>
      <c r="G142" s="207" t="s">
        <v>1304</v>
      </c>
      <c r="H142" s="139">
        <v>1</v>
      </c>
      <c r="I142" s="702" t="str">
        <f>CONCATENATE(D142,F142,G142)</f>
        <v>정수기지정사양, 렌탈(1년사용료기준)EA</v>
      </c>
      <c r="J142" s="454">
        <f>IF(I142="인","",VLOOKUP($I:$I,단가!$A:$S,19,FALSE))</f>
        <v>550000</v>
      </c>
      <c r="K142" s="454">
        <f t="shared" ref="K142" si="192">IF(J142="","",TRUNC(J142*$H142,0))</f>
        <v>550000</v>
      </c>
      <c r="L142" s="454">
        <v>0</v>
      </c>
      <c r="M142" s="454">
        <f t="shared" ref="M142" si="193">IF(L142="","",TRUNC(L142*$H142,0))</f>
        <v>0</v>
      </c>
      <c r="N142" s="454">
        <v>0</v>
      </c>
      <c r="O142" s="454">
        <f t="shared" ref="O142" si="194">IF(N142="","",TRUNC(N142*$H142,0))</f>
        <v>0</v>
      </c>
      <c r="P142" s="454">
        <f t="shared" ref="P142" si="195">SUM(K142,M142,O142)</f>
        <v>550000</v>
      </c>
      <c r="Q142" s="194"/>
      <c r="R142" s="195" t="str">
        <f>"단가"&amp;VLOOKUP($I:$I,단가!$A:$B,2,FALSE)&amp;"번"</f>
        <v>단가107번</v>
      </c>
      <c r="S142" s="698"/>
      <c r="T142" s="804"/>
      <c r="U142" s="810">
        <f t="shared" si="187"/>
        <v>550000</v>
      </c>
      <c r="V142" s="703"/>
      <c r="W142" s="703"/>
      <c r="X142" s="673" t="s">
        <v>1419</v>
      </c>
      <c r="Z142" s="741"/>
    </row>
    <row r="143" spans="1:26" s="699" customFormat="1" ht="18.75" customHeight="1" x14ac:dyDescent="0.15">
      <c r="A143" s="691"/>
      <c r="B143" s="710" t="s">
        <v>1422</v>
      </c>
      <c r="C143" s="693"/>
      <c r="D143" s="669" t="s">
        <v>1402</v>
      </c>
      <c r="E143" s="736"/>
      <c r="F143" s="669" t="s">
        <v>1426</v>
      </c>
      <c r="G143" s="737"/>
      <c r="H143" s="694">
        <v>0</v>
      </c>
      <c r="I143" s="702"/>
      <c r="J143" s="695"/>
      <c r="K143" s="695"/>
      <c r="L143" s="695"/>
      <c r="M143" s="695"/>
      <c r="N143" s="695"/>
      <c r="O143" s="695"/>
      <c r="P143" s="695"/>
      <c r="Q143" s="696"/>
      <c r="R143" s="697"/>
      <c r="S143" s="698"/>
      <c r="T143" s="804"/>
      <c r="U143" s="810">
        <f t="shared" si="187"/>
        <v>0</v>
      </c>
      <c r="V143" s="703"/>
      <c r="W143" s="703"/>
      <c r="X143" s="673"/>
      <c r="Z143" s="741"/>
    </row>
    <row r="144" spans="1:26" s="699" customFormat="1" ht="18.75" customHeight="1" x14ac:dyDescent="0.15">
      <c r="A144" s="691"/>
      <c r="B144" s="692"/>
      <c r="C144" s="693"/>
      <c r="D144" s="629" t="s">
        <v>1427</v>
      </c>
      <c r="E144" s="670"/>
      <c r="F144" s="629" t="s">
        <v>1418</v>
      </c>
      <c r="G144" s="207" t="s">
        <v>1304</v>
      </c>
      <c r="H144" s="139">
        <v>1</v>
      </c>
      <c r="I144" s="702" t="str">
        <f>CONCATENATE(D144,F144,G144)</f>
        <v>테이블지정사양EA</v>
      </c>
      <c r="J144" s="454">
        <f>IF(I144="인","",VLOOKUP($I:$I,단가!$A:$S,19,FALSE))</f>
        <v>380000</v>
      </c>
      <c r="K144" s="454">
        <f t="shared" ref="K144" si="196">IF(J144="","",TRUNC(J144*$H144,0))</f>
        <v>380000</v>
      </c>
      <c r="L144" s="454">
        <v>0</v>
      </c>
      <c r="M144" s="454">
        <f t="shared" ref="M144" si="197">IF(L144="","",TRUNC(L144*$H144,0))</f>
        <v>0</v>
      </c>
      <c r="N144" s="454">
        <v>0</v>
      </c>
      <c r="O144" s="454">
        <f t="shared" ref="O144" si="198">IF(N144="","",TRUNC(N144*$H144,0))</f>
        <v>0</v>
      </c>
      <c r="P144" s="454">
        <f t="shared" ref="P144" si="199">SUM(K144,M144,O144)</f>
        <v>380000</v>
      </c>
      <c r="Q144" s="194"/>
      <c r="R144" s="195" t="str">
        <f>"단가"&amp;VLOOKUP($I:$I,단가!$A:$B,2,FALSE)&amp;"번"</f>
        <v>단가108번</v>
      </c>
      <c r="S144" s="698"/>
      <c r="T144" s="804"/>
      <c r="U144" s="810">
        <f t="shared" si="187"/>
        <v>380000</v>
      </c>
      <c r="V144" s="703"/>
      <c r="W144" s="703"/>
      <c r="X144" s="673" t="s">
        <v>1419</v>
      </c>
      <c r="Z144" s="741"/>
    </row>
    <row r="145" spans="1:26" s="699" customFormat="1" ht="18.75" customHeight="1" x14ac:dyDescent="0.15">
      <c r="A145" s="691"/>
      <c r="B145" s="692"/>
      <c r="C145" s="693"/>
      <c r="D145" s="707"/>
      <c r="E145" s="736"/>
      <c r="F145" s="707"/>
      <c r="G145" s="737"/>
      <c r="H145" s="139">
        <v>0</v>
      </c>
      <c r="I145" s="702"/>
      <c r="J145" s="454"/>
      <c r="K145" s="454"/>
      <c r="L145" s="454"/>
      <c r="M145" s="454"/>
      <c r="N145" s="454"/>
      <c r="O145" s="454"/>
      <c r="P145" s="454"/>
      <c r="Q145" s="194"/>
      <c r="R145" s="195"/>
      <c r="S145" s="698"/>
      <c r="T145" s="804"/>
      <c r="U145" s="810">
        <f t="shared" si="187"/>
        <v>0</v>
      </c>
      <c r="V145" s="703"/>
      <c r="W145" s="703"/>
      <c r="X145" s="673"/>
      <c r="Z145" s="741"/>
    </row>
    <row r="146" spans="1:26" s="699" customFormat="1" ht="18.75" customHeight="1" x14ac:dyDescent="0.15">
      <c r="A146" s="691"/>
      <c r="B146" s="692"/>
      <c r="C146" s="693"/>
      <c r="D146" s="707"/>
      <c r="E146" s="736"/>
      <c r="F146" s="707"/>
      <c r="G146" s="737"/>
      <c r="H146" s="139">
        <v>0</v>
      </c>
      <c r="I146" s="702"/>
      <c r="J146" s="454"/>
      <c r="K146" s="454"/>
      <c r="L146" s="454"/>
      <c r="M146" s="454"/>
      <c r="N146" s="454"/>
      <c r="O146" s="454"/>
      <c r="P146" s="454"/>
      <c r="Q146" s="194"/>
      <c r="R146" s="195"/>
      <c r="S146" s="698"/>
      <c r="T146" s="804"/>
      <c r="U146" s="810">
        <f t="shared" si="187"/>
        <v>0</v>
      </c>
      <c r="V146" s="703"/>
      <c r="W146" s="703"/>
      <c r="X146" s="673"/>
      <c r="Z146" s="741"/>
    </row>
    <row r="147" spans="1:26" s="699" customFormat="1" ht="18.75" customHeight="1" x14ac:dyDescent="0.15">
      <c r="A147" s="691"/>
      <c r="B147" s="692"/>
      <c r="C147" s="693"/>
      <c r="D147" s="707"/>
      <c r="E147" s="736"/>
      <c r="F147" s="707"/>
      <c r="G147" s="737"/>
      <c r="H147" s="139">
        <v>0</v>
      </c>
      <c r="I147" s="702"/>
      <c r="J147" s="454"/>
      <c r="K147" s="454"/>
      <c r="L147" s="454"/>
      <c r="M147" s="454"/>
      <c r="N147" s="454"/>
      <c r="O147" s="454"/>
      <c r="P147" s="454"/>
      <c r="Q147" s="194"/>
      <c r="R147" s="195"/>
      <c r="S147" s="698"/>
      <c r="T147" s="804"/>
      <c r="U147" s="810">
        <f t="shared" si="187"/>
        <v>0</v>
      </c>
      <c r="V147" s="703"/>
      <c r="W147" s="703"/>
      <c r="X147" s="673"/>
      <c r="Z147" s="741"/>
    </row>
    <row r="148" spans="1:26" s="699" customFormat="1" ht="18.75" customHeight="1" x14ac:dyDescent="0.15">
      <c r="A148" s="691"/>
      <c r="B148" s="692"/>
      <c r="C148" s="693"/>
      <c r="D148" s="707"/>
      <c r="E148" s="736"/>
      <c r="F148" s="707"/>
      <c r="G148" s="737"/>
      <c r="H148" s="139">
        <v>0</v>
      </c>
      <c r="I148" s="702"/>
      <c r="J148" s="454"/>
      <c r="K148" s="454"/>
      <c r="L148" s="454"/>
      <c r="M148" s="454"/>
      <c r="N148" s="454"/>
      <c r="O148" s="454"/>
      <c r="P148" s="454"/>
      <c r="Q148" s="194"/>
      <c r="R148" s="195"/>
      <c r="S148" s="698"/>
      <c r="T148" s="804"/>
      <c r="U148" s="810">
        <f t="shared" si="187"/>
        <v>0</v>
      </c>
      <c r="V148" s="703"/>
      <c r="W148" s="703"/>
      <c r="X148" s="673"/>
      <c r="Z148" s="741"/>
    </row>
    <row r="149" spans="1:26" s="699" customFormat="1" ht="18.75" customHeight="1" x14ac:dyDescent="0.15">
      <c r="A149" s="691"/>
      <c r="B149" s="692"/>
      <c r="C149" s="693"/>
      <c r="D149" s="707"/>
      <c r="E149" s="736"/>
      <c r="F149" s="707"/>
      <c r="G149" s="737"/>
      <c r="H149" s="139">
        <v>0</v>
      </c>
      <c r="I149" s="702"/>
      <c r="J149" s="454"/>
      <c r="K149" s="454"/>
      <c r="L149" s="454"/>
      <c r="M149" s="454"/>
      <c r="N149" s="454"/>
      <c r="O149" s="454"/>
      <c r="P149" s="454"/>
      <c r="Q149" s="194"/>
      <c r="R149" s="195"/>
      <c r="S149" s="698"/>
      <c r="T149" s="804"/>
      <c r="U149" s="810">
        <f t="shared" si="187"/>
        <v>0</v>
      </c>
      <c r="V149" s="703"/>
      <c r="W149" s="703"/>
      <c r="X149" s="673"/>
      <c r="Z149" s="741"/>
    </row>
    <row r="150" spans="1:26" s="699" customFormat="1" ht="18.75" customHeight="1" x14ac:dyDescent="0.15">
      <c r="A150" s="691"/>
      <c r="B150" s="692"/>
      <c r="C150" s="693"/>
      <c r="D150" s="707"/>
      <c r="E150" s="736"/>
      <c r="F150" s="707"/>
      <c r="G150" s="737"/>
      <c r="H150" s="139">
        <v>0</v>
      </c>
      <c r="I150" s="702"/>
      <c r="J150" s="454"/>
      <c r="K150" s="454"/>
      <c r="L150" s="454"/>
      <c r="M150" s="454"/>
      <c r="N150" s="454"/>
      <c r="O150" s="454"/>
      <c r="P150" s="454"/>
      <c r="Q150" s="194"/>
      <c r="R150" s="195"/>
      <c r="S150" s="698"/>
      <c r="T150" s="804"/>
      <c r="U150" s="810">
        <f t="shared" si="187"/>
        <v>0</v>
      </c>
      <c r="V150" s="703"/>
      <c r="W150" s="703"/>
      <c r="X150" s="673"/>
      <c r="Z150" s="741"/>
    </row>
    <row r="151" spans="1:26" s="699" customFormat="1" ht="18.75" customHeight="1" x14ac:dyDescent="0.15">
      <c r="A151" s="691"/>
      <c r="B151" s="692"/>
      <c r="C151" s="693"/>
      <c r="D151" s="707"/>
      <c r="E151" s="736"/>
      <c r="F151" s="707"/>
      <c r="G151" s="737"/>
      <c r="H151" s="139">
        <v>0</v>
      </c>
      <c r="I151" s="702"/>
      <c r="J151" s="454"/>
      <c r="K151" s="454"/>
      <c r="L151" s="454"/>
      <c r="M151" s="454"/>
      <c r="N151" s="454"/>
      <c r="O151" s="454"/>
      <c r="P151" s="454"/>
      <c r="Q151" s="194"/>
      <c r="R151" s="195"/>
      <c r="S151" s="698"/>
      <c r="T151" s="804"/>
      <c r="U151" s="810">
        <f t="shared" si="187"/>
        <v>0</v>
      </c>
      <c r="V151" s="703"/>
      <c r="W151" s="703"/>
      <c r="X151" s="673"/>
      <c r="Z151" s="741"/>
    </row>
    <row r="152" spans="1:26" s="699" customFormat="1" ht="18.75" customHeight="1" x14ac:dyDescent="0.15">
      <c r="A152" s="691"/>
      <c r="B152" s="692"/>
      <c r="C152" s="693"/>
      <c r="D152" s="707"/>
      <c r="E152" s="736"/>
      <c r="F152" s="707"/>
      <c r="G152" s="737"/>
      <c r="H152" s="139">
        <v>0</v>
      </c>
      <c r="I152" s="702"/>
      <c r="J152" s="454"/>
      <c r="K152" s="454"/>
      <c r="L152" s="454"/>
      <c r="M152" s="454"/>
      <c r="N152" s="454"/>
      <c r="O152" s="454"/>
      <c r="P152" s="454"/>
      <c r="Q152" s="194"/>
      <c r="R152" s="195"/>
      <c r="S152" s="698"/>
      <c r="T152" s="804"/>
      <c r="U152" s="810">
        <f t="shared" si="187"/>
        <v>0</v>
      </c>
      <c r="V152" s="703"/>
      <c r="W152" s="703"/>
      <c r="X152" s="673"/>
      <c r="Z152" s="741"/>
    </row>
    <row r="153" spans="1:26" s="699" customFormat="1" ht="18.75" customHeight="1" x14ac:dyDescent="0.15">
      <c r="A153" s="691"/>
      <c r="B153" s="692"/>
      <c r="C153" s="693"/>
      <c r="D153" s="707"/>
      <c r="E153" s="736"/>
      <c r="F153" s="707"/>
      <c r="G153" s="737"/>
      <c r="H153" s="139">
        <v>0</v>
      </c>
      <c r="I153" s="702"/>
      <c r="J153" s="454"/>
      <c r="K153" s="454"/>
      <c r="L153" s="454"/>
      <c r="M153" s="454"/>
      <c r="N153" s="454"/>
      <c r="O153" s="454"/>
      <c r="P153" s="454"/>
      <c r="Q153" s="194"/>
      <c r="R153" s="195"/>
      <c r="S153" s="698"/>
      <c r="T153" s="804"/>
      <c r="U153" s="810">
        <f t="shared" si="187"/>
        <v>0</v>
      </c>
      <c r="V153" s="703"/>
      <c r="W153" s="703"/>
      <c r="X153" s="673"/>
      <c r="Z153" s="741"/>
    </row>
    <row r="154" spans="1:26" s="699" customFormat="1" ht="18.75" customHeight="1" x14ac:dyDescent="0.15">
      <c r="A154" s="691"/>
      <c r="B154" s="692"/>
      <c r="C154" s="693"/>
      <c r="D154" s="707"/>
      <c r="E154" s="736"/>
      <c r="F154" s="707"/>
      <c r="G154" s="737"/>
      <c r="H154" s="139">
        <v>0</v>
      </c>
      <c r="I154" s="702"/>
      <c r="J154" s="454"/>
      <c r="K154" s="454"/>
      <c r="L154" s="454"/>
      <c r="M154" s="454"/>
      <c r="N154" s="454"/>
      <c r="O154" s="454"/>
      <c r="P154" s="454"/>
      <c r="Q154" s="194"/>
      <c r="R154" s="195"/>
      <c r="S154" s="698"/>
      <c r="T154" s="804"/>
      <c r="U154" s="810">
        <f t="shared" si="187"/>
        <v>0</v>
      </c>
      <c r="V154" s="703"/>
      <c r="W154" s="703"/>
      <c r="X154" s="673"/>
      <c r="Z154" s="741"/>
    </row>
    <row r="155" spans="1:26" s="699" customFormat="1" ht="18.75" customHeight="1" x14ac:dyDescent="0.15">
      <c r="A155" s="691"/>
      <c r="B155" s="692"/>
      <c r="C155" s="693"/>
      <c r="D155" s="707"/>
      <c r="E155" s="736"/>
      <c r="F155" s="707"/>
      <c r="G155" s="737"/>
      <c r="H155" s="139">
        <v>0</v>
      </c>
      <c r="I155" s="702"/>
      <c r="J155" s="454"/>
      <c r="K155" s="454"/>
      <c r="L155" s="454"/>
      <c r="M155" s="454"/>
      <c r="N155" s="454"/>
      <c r="O155" s="454"/>
      <c r="P155" s="454"/>
      <c r="Q155" s="194"/>
      <c r="R155" s="195"/>
      <c r="S155" s="698"/>
      <c r="T155" s="804"/>
      <c r="U155" s="810">
        <f t="shared" si="187"/>
        <v>0</v>
      </c>
      <c r="V155" s="703"/>
      <c r="W155" s="703"/>
      <c r="X155" s="673"/>
      <c r="Z155" s="741"/>
    </row>
    <row r="156" spans="1:26" s="699" customFormat="1" ht="18.75" customHeight="1" x14ac:dyDescent="0.15">
      <c r="A156" s="691"/>
      <c r="B156" s="692"/>
      <c r="C156" s="693"/>
      <c r="D156" s="707"/>
      <c r="E156" s="736"/>
      <c r="F156" s="707"/>
      <c r="G156" s="737"/>
      <c r="H156" s="139">
        <v>0</v>
      </c>
      <c r="I156" s="702"/>
      <c r="J156" s="454"/>
      <c r="K156" s="454"/>
      <c r="L156" s="454"/>
      <c r="M156" s="454"/>
      <c r="N156" s="454"/>
      <c r="O156" s="454"/>
      <c r="P156" s="454"/>
      <c r="Q156" s="194"/>
      <c r="R156" s="195"/>
      <c r="S156" s="698"/>
      <c r="T156" s="804"/>
      <c r="U156" s="810">
        <f t="shared" si="187"/>
        <v>0</v>
      </c>
      <c r="V156" s="703"/>
      <c r="W156" s="703"/>
      <c r="X156" s="673"/>
      <c r="Z156" s="741"/>
    </row>
    <row r="157" spans="1:26" s="699" customFormat="1" ht="18.75" customHeight="1" x14ac:dyDescent="0.15">
      <c r="A157" s="691"/>
      <c r="B157" s="692"/>
      <c r="C157" s="693"/>
      <c r="D157" s="707"/>
      <c r="E157" s="736"/>
      <c r="F157" s="707"/>
      <c r="G157" s="737"/>
      <c r="H157" s="139">
        <v>0</v>
      </c>
      <c r="I157" s="702"/>
      <c r="J157" s="454"/>
      <c r="K157" s="454"/>
      <c r="L157" s="454"/>
      <c r="M157" s="454"/>
      <c r="N157" s="454"/>
      <c r="O157" s="454"/>
      <c r="P157" s="454"/>
      <c r="Q157" s="194"/>
      <c r="R157" s="195"/>
      <c r="S157" s="698"/>
      <c r="T157" s="804"/>
      <c r="U157" s="810">
        <f t="shared" si="187"/>
        <v>0</v>
      </c>
      <c r="V157" s="703"/>
      <c r="W157" s="703"/>
      <c r="X157" s="673"/>
      <c r="Z157" s="741"/>
    </row>
    <row r="158" spans="1:26" s="699" customFormat="1" ht="18.75" customHeight="1" x14ac:dyDescent="0.15">
      <c r="A158" s="691"/>
      <c r="B158" s="692"/>
      <c r="C158" s="693"/>
      <c r="D158" s="707"/>
      <c r="E158" s="736"/>
      <c r="F158" s="707"/>
      <c r="G158" s="737"/>
      <c r="H158" s="139">
        <v>0</v>
      </c>
      <c r="I158" s="702"/>
      <c r="J158" s="454"/>
      <c r="K158" s="454"/>
      <c r="L158" s="454"/>
      <c r="M158" s="454"/>
      <c r="N158" s="454"/>
      <c r="O158" s="454"/>
      <c r="P158" s="454"/>
      <c r="Q158" s="194"/>
      <c r="R158" s="195"/>
      <c r="S158" s="698"/>
      <c r="T158" s="804"/>
      <c r="U158" s="810">
        <f t="shared" si="187"/>
        <v>0</v>
      </c>
      <c r="V158" s="703"/>
      <c r="W158" s="703"/>
      <c r="X158" s="673"/>
      <c r="Z158" s="741"/>
    </row>
    <row r="159" spans="1:26" s="598" customFormat="1" ht="18.95" customHeight="1" x14ac:dyDescent="0.15">
      <c r="A159" s="587"/>
      <c r="B159" s="588"/>
      <c r="C159" s="589" t="s">
        <v>346</v>
      </c>
      <c r="D159" s="720"/>
      <c r="E159" s="590"/>
      <c r="F159" s="591"/>
      <c r="G159" s="592"/>
      <c r="H159" s="593">
        <v>0</v>
      </c>
      <c r="I159" s="656" t="str">
        <f>D72</f>
        <v>집기</v>
      </c>
      <c r="J159" s="594"/>
      <c r="K159" s="594">
        <f>SUM(K72:K158)</f>
        <v>35527279</v>
      </c>
      <c r="L159" s="594"/>
      <c r="M159" s="594">
        <f>SUM(M72:M158)</f>
        <v>6571302</v>
      </c>
      <c r="N159" s="594"/>
      <c r="O159" s="594">
        <f>SUM(O72:O158)</f>
        <v>2217</v>
      </c>
      <c r="P159" s="594">
        <f>SUM(K159,M159,O159)</f>
        <v>42100798</v>
      </c>
      <c r="Q159" s="595"/>
      <c r="R159" s="596"/>
      <c r="S159" s="597"/>
      <c r="T159" s="808"/>
      <c r="U159" s="810">
        <f t="shared" si="187"/>
        <v>0</v>
      </c>
      <c r="V159" s="703" t="s">
        <v>346</v>
      </c>
      <c r="W159" s="703">
        <f>A72</f>
        <v>4</v>
      </c>
      <c r="X159" s="673">
        <v>0</v>
      </c>
      <c r="Z159" s="742"/>
    </row>
    <row r="160" spans="1:26" s="699" customFormat="1" ht="18.75" customHeight="1" x14ac:dyDescent="0.15">
      <c r="A160" s="821">
        <f>집계!A10</f>
        <v>5</v>
      </c>
      <c r="B160" s="655"/>
      <c r="C160" s="574"/>
      <c r="D160" s="669" t="str">
        <f>집계!D10</f>
        <v>사인그래픽</v>
      </c>
      <c r="E160" s="670"/>
      <c r="F160" s="669"/>
      <c r="G160" s="207"/>
      <c r="H160" s="139">
        <v>0</v>
      </c>
      <c r="I160" s="702"/>
      <c r="J160" s="454"/>
      <c r="K160" s="454"/>
      <c r="L160" s="454"/>
      <c r="M160" s="454"/>
      <c r="N160" s="454"/>
      <c r="O160" s="454"/>
      <c r="P160" s="454"/>
      <c r="Q160" s="194"/>
      <c r="R160" s="195"/>
      <c r="S160" s="153"/>
      <c r="T160" s="804"/>
      <c r="U160" s="810">
        <f t="shared" si="187"/>
        <v>0</v>
      </c>
      <c r="V160" s="703"/>
      <c r="W160" s="703"/>
      <c r="X160" s="673"/>
      <c r="Z160" s="741"/>
    </row>
    <row r="161" spans="1:26" s="699" customFormat="1" ht="18.75" customHeight="1" x14ac:dyDescent="0.15">
      <c r="A161" s="692"/>
      <c r="B161" s="710" t="s">
        <v>1299</v>
      </c>
      <c r="C161" s="693"/>
      <c r="D161" s="669" t="s">
        <v>1300</v>
      </c>
      <c r="E161" s="736"/>
      <c r="F161" s="669" t="s">
        <v>1301</v>
      </c>
      <c r="G161" s="737"/>
      <c r="H161" s="694">
        <v>0</v>
      </c>
      <c r="I161" s="702"/>
      <c r="J161" s="695"/>
      <c r="K161" s="695"/>
      <c r="L161" s="695"/>
      <c r="M161" s="695"/>
      <c r="N161" s="695"/>
      <c r="O161" s="695"/>
      <c r="P161" s="695"/>
      <c r="Q161" s="696"/>
      <c r="R161" s="697"/>
      <c r="S161" s="698"/>
      <c r="T161" s="804"/>
      <c r="U161" s="810">
        <f t="shared" si="187"/>
        <v>0</v>
      </c>
      <c r="V161" s="703"/>
      <c r="W161" s="703"/>
      <c r="X161" s="673"/>
      <c r="Z161" s="741"/>
    </row>
    <row r="162" spans="1:26" s="699" customFormat="1" ht="18.75" customHeight="1" x14ac:dyDescent="0.15">
      <c r="A162" s="864"/>
      <c r="B162" s="655"/>
      <c r="C162" s="574"/>
      <c r="D162" s="669" t="s">
        <v>1302</v>
      </c>
      <c r="E162" s="670"/>
      <c r="F162" s="669" t="s">
        <v>1303</v>
      </c>
      <c r="G162" s="207" t="s">
        <v>1304</v>
      </c>
      <c r="H162" s="139">
        <v>5</v>
      </c>
      <c r="I162" s="702" t="str">
        <f>CONCATENATE(D162,F162,G162)</f>
        <v>아크릴 스카시_문자H:200mm, T:10mm, 한글EA</v>
      </c>
      <c r="J162" s="454">
        <f>IF(I162="인","",VLOOKUP($I:$I,단가!$A:$S,19,FALSE))</f>
        <v>75000</v>
      </c>
      <c r="K162" s="454">
        <f t="shared" ref="K162:K163" si="200">IF(J162="","",TRUNC(J162*$H162,0))</f>
        <v>375000</v>
      </c>
      <c r="L162" s="454">
        <v>0</v>
      </c>
      <c r="M162" s="454">
        <f t="shared" ref="M162:M163" si="201">IF(L162="","",TRUNC(L162*$H162,0))</f>
        <v>0</v>
      </c>
      <c r="N162" s="454">
        <v>0</v>
      </c>
      <c r="O162" s="454">
        <f t="shared" ref="O162:O163" si="202">IF(N162="","",TRUNC(N162*$H162,0))</f>
        <v>0</v>
      </c>
      <c r="P162" s="454">
        <f t="shared" ref="P162:P163" si="203">SUM(K162,M162,O162)</f>
        <v>375000</v>
      </c>
      <c r="Q162" s="194"/>
      <c r="R162" s="195" t="str">
        <f>"단가"&amp;VLOOKUP($I:$I,단가!$A:$B,2,FALSE)&amp;"번"</f>
        <v>단가109번</v>
      </c>
      <c r="S162" s="153"/>
      <c r="T162" s="804"/>
      <c r="U162" s="810">
        <f t="shared" si="187"/>
        <v>375000</v>
      </c>
      <c r="V162" s="701"/>
      <c r="W162" s="701"/>
      <c r="X162" s="673" t="s">
        <v>1322</v>
      </c>
      <c r="Z162" s="741"/>
    </row>
    <row r="163" spans="1:26" s="699" customFormat="1" ht="18.75" customHeight="1" x14ac:dyDescent="0.15">
      <c r="A163" s="864"/>
      <c r="B163" s="655"/>
      <c r="C163" s="574"/>
      <c r="D163" s="669" t="s">
        <v>1302</v>
      </c>
      <c r="E163" s="670"/>
      <c r="F163" s="669" t="s">
        <v>1305</v>
      </c>
      <c r="G163" s="207" t="s">
        <v>1304</v>
      </c>
      <c r="H163" s="139">
        <v>17</v>
      </c>
      <c r="I163" s="702" t="str">
        <f t="shared" ref="I163" si="204">CONCATENATE(D163,F163,G163)</f>
        <v>아크릴 스카시_문자H:100mm, T:10mm, 영문EA</v>
      </c>
      <c r="J163" s="454">
        <f>IF(I163="인","",VLOOKUP($I:$I,단가!$A:$S,19,FALSE))</f>
        <v>35000</v>
      </c>
      <c r="K163" s="454">
        <f t="shared" si="200"/>
        <v>595000</v>
      </c>
      <c r="L163" s="454">
        <v>0</v>
      </c>
      <c r="M163" s="454">
        <f t="shared" si="201"/>
        <v>0</v>
      </c>
      <c r="N163" s="454">
        <v>0</v>
      </c>
      <c r="O163" s="454">
        <f t="shared" si="202"/>
        <v>0</v>
      </c>
      <c r="P163" s="454">
        <f t="shared" si="203"/>
        <v>595000</v>
      </c>
      <c r="Q163" s="194"/>
      <c r="R163" s="195" t="str">
        <f>"단가"&amp;VLOOKUP($I:$I,단가!$A:$B,2,FALSE)&amp;"번"</f>
        <v>단가114번</v>
      </c>
      <c r="S163" s="153"/>
      <c r="T163" s="804"/>
      <c r="U163" s="810">
        <f t="shared" si="187"/>
        <v>595000</v>
      </c>
      <c r="V163" s="703"/>
      <c r="W163" s="703"/>
      <c r="X163" s="673" t="s">
        <v>1323</v>
      </c>
      <c r="Z163" s="741"/>
    </row>
    <row r="164" spans="1:26" s="699" customFormat="1" ht="18.75" customHeight="1" x14ac:dyDescent="0.15">
      <c r="A164" s="692"/>
      <c r="B164" s="710" t="s">
        <v>1306</v>
      </c>
      <c r="C164" s="693"/>
      <c r="D164" s="669" t="s">
        <v>1307</v>
      </c>
      <c r="E164" s="736"/>
      <c r="F164" s="669" t="s">
        <v>1301</v>
      </c>
      <c r="G164" s="737"/>
      <c r="H164" s="694">
        <v>0</v>
      </c>
      <c r="I164" s="702"/>
      <c r="J164" s="695"/>
      <c r="K164" s="695"/>
      <c r="L164" s="695"/>
      <c r="M164" s="695"/>
      <c r="N164" s="695"/>
      <c r="O164" s="695"/>
      <c r="P164" s="695"/>
      <c r="Q164" s="696"/>
      <c r="R164" s="697"/>
      <c r="S164" s="698"/>
      <c r="T164" s="804"/>
      <c r="U164" s="810">
        <f t="shared" si="187"/>
        <v>0</v>
      </c>
      <c r="V164" s="703"/>
      <c r="W164" s="703"/>
      <c r="X164" s="673"/>
      <c r="Z164" s="741"/>
    </row>
    <row r="165" spans="1:26" s="699" customFormat="1" ht="18.75" customHeight="1" x14ac:dyDescent="0.15">
      <c r="A165" s="864"/>
      <c r="B165" s="655"/>
      <c r="C165" s="574"/>
      <c r="D165" s="669" t="s">
        <v>1302</v>
      </c>
      <c r="E165" s="670"/>
      <c r="F165" s="669" t="s">
        <v>1308</v>
      </c>
      <c r="G165" s="207" t="s">
        <v>1304</v>
      </c>
      <c r="H165" s="139">
        <v>7</v>
      </c>
      <c r="I165" s="702" t="str">
        <f>CONCATENATE(D165,F165,G165)</f>
        <v>아크릴 스카시_문자H:100mm, T:10mm, 한글EA</v>
      </c>
      <c r="J165" s="454">
        <f>IF(I165="인","",VLOOKUP($I:$I,단가!$A:$S,19,FALSE))</f>
        <v>38000</v>
      </c>
      <c r="K165" s="454">
        <f t="shared" ref="K165:K167" si="205">IF(J165="","",TRUNC(J165*$H165,0))</f>
        <v>266000</v>
      </c>
      <c r="L165" s="454">
        <v>0</v>
      </c>
      <c r="M165" s="454">
        <f t="shared" ref="M165:M167" si="206">IF(L165="","",TRUNC(L165*$H165,0))</f>
        <v>0</v>
      </c>
      <c r="N165" s="454">
        <v>0</v>
      </c>
      <c r="O165" s="454">
        <f t="shared" ref="O165:O167" si="207">IF(N165="","",TRUNC(N165*$H165,0))</f>
        <v>0</v>
      </c>
      <c r="P165" s="454">
        <f t="shared" ref="P165:P167" si="208">SUM(K165,M165,O165)</f>
        <v>266000</v>
      </c>
      <c r="Q165" s="194"/>
      <c r="R165" s="195" t="str">
        <f>"단가"&amp;VLOOKUP($I:$I,단가!$A:$B,2,FALSE)&amp;"번"</f>
        <v>단가110번</v>
      </c>
      <c r="S165" s="153"/>
      <c r="T165" s="804"/>
      <c r="U165" s="810">
        <f t="shared" si="187"/>
        <v>266000</v>
      </c>
      <c r="V165" s="701"/>
      <c r="W165" s="701"/>
      <c r="X165" s="673" t="s">
        <v>1324</v>
      </c>
      <c r="Z165" s="741"/>
    </row>
    <row r="166" spans="1:26" s="699" customFormat="1" ht="18.75" customHeight="1" x14ac:dyDescent="0.15">
      <c r="A166" s="864"/>
      <c r="B166" s="655"/>
      <c r="C166" s="574"/>
      <c r="D166" s="669" t="s">
        <v>1302</v>
      </c>
      <c r="E166" s="670"/>
      <c r="F166" s="669" t="s">
        <v>1309</v>
      </c>
      <c r="G166" s="207" t="s">
        <v>1304</v>
      </c>
      <c r="H166" s="139">
        <v>15</v>
      </c>
      <c r="I166" s="702" t="str">
        <f t="shared" ref="I166:I167" si="209">CONCATENATE(D166,F166,G166)</f>
        <v>아크릴 스카시_문자H:80mm, T:10mm, 한글EA</v>
      </c>
      <c r="J166" s="454">
        <f>IF(I166="인","",VLOOKUP($I:$I,단가!$A:$S,19,FALSE))</f>
        <v>32000</v>
      </c>
      <c r="K166" s="454">
        <f t="shared" si="205"/>
        <v>480000</v>
      </c>
      <c r="L166" s="454">
        <v>0</v>
      </c>
      <c r="M166" s="454">
        <f t="shared" si="206"/>
        <v>0</v>
      </c>
      <c r="N166" s="454">
        <v>0</v>
      </c>
      <c r="O166" s="454">
        <f t="shared" si="207"/>
        <v>0</v>
      </c>
      <c r="P166" s="454">
        <f t="shared" si="208"/>
        <v>480000</v>
      </c>
      <c r="Q166" s="194"/>
      <c r="R166" s="195" t="str">
        <f>"단가"&amp;VLOOKUP($I:$I,단가!$A:$B,2,FALSE)&amp;"번"</f>
        <v>단가111번</v>
      </c>
      <c r="S166" s="153"/>
      <c r="T166" s="804"/>
      <c r="U166" s="810">
        <f t="shared" si="187"/>
        <v>480000</v>
      </c>
      <c r="V166" s="703"/>
      <c r="W166" s="703"/>
      <c r="X166" s="673" t="s">
        <v>1325</v>
      </c>
      <c r="Z166" s="741"/>
    </row>
    <row r="167" spans="1:26" s="699" customFormat="1" ht="18.75" customHeight="1" x14ac:dyDescent="0.15">
      <c r="A167" s="864"/>
      <c r="B167" s="655"/>
      <c r="C167" s="574"/>
      <c r="D167" s="669" t="s">
        <v>1302</v>
      </c>
      <c r="E167" s="670"/>
      <c r="F167" s="669" t="s">
        <v>1310</v>
      </c>
      <c r="G167" s="207" t="s">
        <v>1304</v>
      </c>
      <c r="H167" s="139">
        <v>15</v>
      </c>
      <c r="I167" s="702" t="str">
        <f t="shared" si="209"/>
        <v>아크릴 스카시_문자H:50mm, T:10mm, 한글EA</v>
      </c>
      <c r="J167" s="454">
        <f>IF(I167="인","",VLOOKUP($I:$I,단가!$A:$S,19,FALSE))</f>
        <v>25000</v>
      </c>
      <c r="K167" s="454">
        <f t="shared" si="205"/>
        <v>375000</v>
      </c>
      <c r="L167" s="454">
        <v>0</v>
      </c>
      <c r="M167" s="454">
        <f t="shared" si="206"/>
        <v>0</v>
      </c>
      <c r="N167" s="454">
        <v>0</v>
      </c>
      <c r="O167" s="454">
        <f t="shared" si="207"/>
        <v>0</v>
      </c>
      <c r="P167" s="454">
        <f t="shared" si="208"/>
        <v>375000</v>
      </c>
      <c r="Q167" s="194"/>
      <c r="R167" s="195" t="str">
        <f>"단가"&amp;VLOOKUP($I:$I,단가!$A:$B,2,FALSE)&amp;"번"</f>
        <v>단가112번</v>
      </c>
      <c r="S167" s="153"/>
      <c r="T167" s="804"/>
      <c r="U167" s="810">
        <f t="shared" si="187"/>
        <v>375000</v>
      </c>
      <c r="V167" s="703"/>
      <c r="W167" s="703"/>
      <c r="X167" s="673" t="s">
        <v>1325</v>
      </c>
      <c r="Z167" s="741"/>
    </row>
    <row r="168" spans="1:26" s="699" customFormat="1" ht="18.75" customHeight="1" x14ac:dyDescent="0.15">
      <c r="A168" s="692"/>
      <c r="B168" s="710" t="s">
        <v>1311</v>
      </c>
      <c r="C168" s="693"/>
      <c r="D168" s="669" t="s">
        <v>1312</v>
      </c>
      <c r="E168" s="736"/>
      <c r="F168" s="669" t="s">
        <v>1301</v>
      </c>
      <c r="G168" s="737"/>
      <c r="H168" s="694">
        <v>0</v>
      </c>
      <c r="I168" s="702"/>
      <c r="J168" s="695"/>
      <c r="K168" s="695"/>
      <c r="L168" s="695"/>
      <c r="M168" s="695"/>
      <c r="N168" s="695"/>
      <c r="O168" s="695"/>
      <c r="P168" s="695"/>
      <c r="Q168" s="696"/>
      <c r="R168" s="697"/>
      <c r="S168" s="698"/>
      <c r="T168" s="804"/>
      <c r="U168" s="810">
        <f t="shared" si="187"/>
        <v>0</v>
      </c>
      <c r="V168" s="703"/>
      <c r="W168" s="703"/>
      <c r="X168" s="673"/>
      <c r="Z168" s="741"/>
    </row>
    <row r="169" spans="1:26" s="699" customFormat="1" ht="18.75" customHeight="1" x14ac:dyDescent="0.15">
      <c r="A169" s="821"/>
      <c r="B169" s="655"/>
      <c r="C169" s="574"/>
      <c r="D169" s="669" t="s">
        <v>1302</v>
      </c>
      <c r="E169" s="670"/>
      <c r="F169" s="669" t="s">
        <v>1313</v>
      </c>
      <c r="G169" s="207" t="s">
        <v>1304</v>
      </c>
      <c r="H169" s="139">
        <v>18</v>
      </c>
      <c r="I169" s="702" t="str">
        <f t="shared" ref="I169" si="210">CONCATENATE(D169,F169,G169)</f>
        <v>아크릴 스카시_문자H:80mm, T:5mm, 영문EA</v>
      </c>
      <c r="J169" s="454">
        <f>IF(I169="인","",VLOOKUP($I:$I,단가!$A:$S,19,FALSE))</f>
        <v>24000</v>
      </c>
      <c r="K169" s="454">
        <f t="shared" ref="K169" si="211">IF(J169="","",TRUNC(J169*$H169,0))</f>
        <v>432000</v>
      </c>
      <c r="L169" s="454">
        <v>0</v>
      </c>
      <c r="M169" s="454">
        <f t="shared" ref="M169" si="212">IF(L169="","",TRUNC(L169*$H169,0))</f>
        <v>0</v>
      </c>
      <c r="N169" s="454">
        <v>0</v>
      </c>
      <c r="O169" s="454">
        <f t="shared" ref="O169" si="213">IF(N169="","",TRUNC(N169*$H169,0))</f>
        <v>0</v>
      </c>
      <c r="P169" s="454">
        <f t="shared" ref="P169" si="214">SUM(K169,M169,O169)</f>
        <v>432000</v>
      </c>
      <c r="Q169" s="194"/>
      <c r="R169" s="195" t="str">
        <f>"단가"&amp;VLOOKUP($I:$I,단가!$A:$B,2,FALSE)&amp;"번"</f>
        <v>단가116번</v>
      </c>
      <c r="S169" s="153"/>
      <c r="T169" s="804"/>
      <c r="U169" s="810">
        <f t="shared" si="187"/>
        <v>432000</v>
      </c>
      <c r="V169" s="703"/>
      <c r="W169" s="703"/>
      <c r="X169" s="673" t="s">
        <v>1326</v>
      </c>
      <c r="Z169" s="741"/>
    </row>
    <row r="170" spans="1:26" s="699" customFormat="1" ht="18.75" customHeight="1" x14ac:dyDescent="0.15">
      <c r="A170" s="692"/>
      <c r="B170" s="710" t="s">
        <v>1314</v>
      </c>
      <c r="C170" s="693"/>
      <c r="D170" s="669" t="s">
        <v>1315</v>
      </c>
      <c r="E170" s="736"/>
      <c r="F170" s="669" t="s">
        <v>1301</v>
      </c>
      <c r="G170" s="737"/>
      <c r="H170" s="694">
        <v>0</v>
      </c>
      <c r="I170" s="702"/>
      <c r="J170" s="695"/>
      <c r="K170" s="695"/>
      <c r="L170" s="695"/>
      <c r="M170" s="695"/>
      <c r="N170" s="695"/>
      <c r="O170" s="695"/>
      <c r="P170" s="695"/>
      <c r="Q170" s="696"/>
      <c r="R170" s="697"/>
      <c r="S170" s="698"/>
      <c r="T170" s="804"/>
      <c r="U170" s="810">
        <f t="shared" si="187"/>
        <v>0</v>
      </c>
      <c r="V170" s="703"/>
      <c r="W170" s="703"/>
      <c r="X170" s="673"/>
      <c r="Z170" s="741"/>
    </row>
    <row r="171" spans="1:26" s="699" customFormat="1" ht="18.75" customHeight="1" x14ac:dyDescent="0.15">
      <c r="A171" s="821"/>
      <c r="B171" s="655"/>
      <c r="C171" s="574"/>
      <c r="D171" s="669" t="s">
        <v>1302</v>
      </c>
      <c r="E171" s="670"/>
      <c r="F171" s="669" t="s">
        <v>1316</v>
      </c>
      <c r="G171" s="207" t="s">
        <v>1304</v>
      </c>
      <c r="H171" s="139">
        <v>10</v>
      </c>
      <c r="I171" s="702" t="str">
        <f t="shared" ref="I171" si="215">CONCATENATE(D171,F171,G171)</f>
        <v>아크릴 스카시_문자H:150mm, T:10mm, 영문EA</v>
      </c>
      <c r="J171" s="454">
        <f>IF(I171="인","",VLOOKUP($I:$I,단가!$A:$S,19,FALSE))</f>
        <v>45000</v>
      </c>
      <c r="K171" s="454">
        <f t="shared" ref="K171" si="216">IF(J171="","",TRUNC(J171*$H171,0))</f>
        <v>450000</v>
      </c>
      <c r="L171" s="454">
        <v>0</v>
      </c>
      <c r="M171" s="454">
        <f t="shared" ref="M171" si="217">IF(L171="","",TRUNC(L171*$H171,0))</f>
        <v>0</v>
      </c>
      <c r="N171" s="454">
        <v>0</v>
      </c>
      <c r="O171" s="454">
        <f t="shared" ref="O171" si="218">IF(N171="","",TRUNC(N171*$H171,0))</f>
        <v>0</v>
      </c>
      <c r="P171" s="454">
        <f t="shared" ref="P171" si="219">SUM(K171,M171,O171)</f>
        <v>450000</v>
      </c>
      <c r="Q171" s="194"/>
      <c r="R171" s="195" t="str">
        <f>"단가"&amp;VLOOKUP($I:$I,단가!$A:$B,2,FALSE)&amp;"번"</f>
        <v>단가113번</v>
      </c>
      <c r="S171" s="153"/>
      <c r="T171" s="804"/>
      <c r="U171" s="810">
        <f t="shared" si="187"/>
        <v>450000</v>
      </c>
      <c r="V171" s="703"/>
      <c r="W171" s="703"/>
      <c r="X171" s="673" t="s">
        <v>1327</v>
      </c>
      <c r="Z171" s="741"/>
    </row>
    <row r="172" spans="1:26" s="699" customFormat="1" ht="18.75" customHeight="1" x14ac:dyDescent="0.15">
      <c r="A172" s="692"/>
      <c r="B172" s="710" t="s">
        <v>1317</v>
      </c>
      <c r="C172" s="693"/>
      <c r="D172" s="669" t="s">
        <v>1318</v>
      </c>
      <c r="E172" s="736"/>
      <c r="F172" s="669" t="s">
        <v>1301</v>
      </c>
      <c r="G172" s="737"/>
      <c r="H172" s="694">
        <v>0</v>
      </c>
      <c r="I172" s="702"/>
      <c r="J172" s="695"/>
      <c r="K172" s="695"/>
      <c r="L172" s="695"/>
      <c r="M172" s="695"/>
      <c r="N172" s="695"/>
      <c r="O172" s="695"/>
      <c r="P172" s="695"/>
      <c r="Q172" s="696"/>
      <c r="R172" s="697"/>
      <c r="S172" s="698"/>
      <c r="T172" s="804"/>
      <c r="U172" s="810">
        <f t="shared" si="187"/>
        <v>0</v>
      </c>
      <c r="V172" s="703"/>
      <c r="W172" s="703"/>
      <c r="X172" s="673"/>
      <c r="Z172" s="741"/>
    </row>
    <row r="173" spans="1:26" s="699" customFormat="1" ht="18.75" customHeight="1" x14ac:dyDescent="0.15">
      <c r="A173" s="821"/>
      <c r="B173" s="655"/>
      <c r="C173" s="574"/>
      <c r="D173" s="669" t="s">
        <v>1302</v>
      </c>
      <c r="E173" s="670"/>
      <c r="F173" s="669" t="s">
        <v>1316</v>
      </c>
      <c r="G173" s="207" t="s">
        <v>1304</v>
      </c>
      <c r="H173" s="139">
        <v>6</v>
      </c>
      <c r="I173" s="702" t="str">
        <f t="shared" ref="I173" si="220">CONCATENATE(D173,F173,G173)</f>
        <v>아크릴 스카시_문자H:150mm, T:10mm, 영문EA</v>
      </c>
      <c r="J173" s="454">
        <f>IF(I173="인","",VLOOKUP($I:$I,단가!$A:$S,19,FALSE))</f>
        <v>45000</v>
      </c>
      <c r="K173" s="454">
        <f t="shared" ref="K173" si="221">IF(J173="","",TRUNC(J173*$H173,0))</f>
        <v>270000</v>
      </c>
      <c r="L173" s="454">
        <v>0</v>
      </c>
      <c r="M173" s="454">
        <f t="shared" ref="M173" si="222">IF(L173="","",TRUNC(L173*$H173,0))</f>
        <v>0</v>
      </c>
      <c r="N173" s="454">
        <v>0</v>
      </c>
      <c r="O173" s="454">
        <f t="shared" ref="O173" si="223">IF(N173="","",TRUNC(N173*$H173,0))</f>
        <v>0</v>
      </c>
      <c r="P173" s="454">
        <f t="shared" ref="P173" si="224">SUM(K173,M173,O173)</f>
        <v>270000</v>
      </c>
      <c r="Q173" s="194"/>
      <c r="R173" s="195" t="str">
        <f>"단가"&amp;VLOOKUP($I:$I,단가!$A:$B,2,FALSE)&amp;"번"</f>
        <v>단가113번</v>
      </c>
      <c r="S173" s="153"/>
      <c r="T173" s="804"/>
      <c r="U173" s="810">
        <f t="shared" si="187"/>
        <v>270000</v>
      </c>
      <c r="V173" s="703"/>
      <c r="W173" s="703"/>
      <c r="X173" s="673" t="s">
        <v>1330</v>
      </c>
      <c r="Z173" s="741"/>
    </row>
    <row r="174" spans="1:26" s="699" customFormat="1" ht="18.75" customHeight="1" x14ac:dyDescent="0.15">
      <c r="A174" s="692"/>
      <c r="B174" s="710" t="s">
        <v>1319</v>
      </c>
      <c r="C174" s="693"/>
      <c r="D174" s="669" t="s">
        <v>1320</v>
      </c>
      <c r="E174" s="736"/>
      <c r="F174" s="669" t="s">
        <v>1301</v>
      </c>
      <c r="G174" s="737"/>
      <c r="H174" s="694">
        <v>0</v>
      </c>
      <c r="I174" s="702"/>
      <c r="J174" s="695"/>
      <c r="K174" s="695"/>
      <c r="L174" s="695"/>
      <c r="M174" s="695"/>
      <c r="N174" s="695"/>
      <c r="O174" s="695"/>
      <c r="P174" s="695"/>
      <c r="Q174" s="696"/>
      <c r="R174" s="697"/>
      <c r="S174" s="698"/>
      <c r="T174" s="804"/>
      <c r="U174" s="810">
        <f t="shared" si="187"/>
        <v>0</v>
      </c>
      <c r="V174" s="703"/>
      <c r="W174" s="703"/>
      <c r="X174" s="673"/>
      <c r="Z174" s="741"/>
    </row>
    <row r="175" spans="1:26" s="699" customFormat="1" ht="18.75" customHeight="1" x14ac:dyDescent="0.15">
      <c r="A175" s="821"/>
      <c r="B175" s="655"/>
      <c r="C175" s="574"/>
      <c r="D175" s="669" t="s">
        <v>1302</v>
      </c>
      <c r="E175" s="670"/>
      <c r="F175" s="669" t="s">
        <v>1308</v>
      </c>
      <c r="G175" s="207" t="s">
        <v>1304</v>
      </c>
      <c r="H175" s="139">
        <v>3</v>
      </c>
      <c r="I175" s="702" t="str">
        <f>CONCATENATE(D175,F175,G175)</f>
        <v>아크릴 스카시_문자H:100mm, T:10mm, 한글EA</v>
      </c>
      <c r="J175" s="454">
        <f>IF(I175="인","",VLOOKUP($I:$I,단가!$A:$S,19,FALSE))</f>
        <v>38000</v>
      </c>
      <c r="K175" s="454">
        <f t="shared" ref="K175:K176" si="225">IF(J175="","",TRUNC(J175*$H175,0))</f>
        <v>114000</v>
      </c>
      <c r="L175" s="454">
        <v>0</v>
      </c>
      <c r="M175" s="454">
        <f t="shared" ref="M175:M176" si="226">IF(L175="","",TRUNC(L175*$H175,0))</f>
        <v>0</v>
      </c>
      <c r="N175" s="454">
        <v>0</v>
      </c>
      <c r="O175" s="454">
        <f t="shared" ref="O175:O176" si="227">IF(N175="","",TRUNC(N175*$H175,0))</f>
        <v>0</v>
      </c>
      <c r="P175" s="454">
        <f t="shared" ref="P175:P176" si="228">SUM(K175,M175,O175)</f>
        <v>114000</v>
      </c>
      <c r="Q175" s="194"/>
      <c r="R175" s="195" t="str">
        <f>"단가"&amp;VLOOKUP($I:$I,단가!$A:$B,2,FALSE)&amp;"번"</f>
        <v>단가110번</v>
      </c>
      <c r="S175" s="153"/>
      <c r="T175" s="804"/>
      <c r="U175" s="810">
        <f t="shared" si="187"/>
        <v>114000</v>
      </c>
      <c r="V175" s="701"/>
      <c r="W175" s="701"/>
      <c r="X175" s="673" t="s">
        <v>1328</v>
      </c>
      <c r="Z175" s="741"/>
    </row>
    <row r="176" spans="1:26" s="699" customFormat="1" ht="18.75" customHeight="1" x14ac:dyDescent="0.15">
      <c r="A176" s="821"/>
      <c r="B176" s="655"/>
      <c r="C176" s="574"/>
      <c r="D176" s="669" t="s">
        <v>1302</v>
      </c>
      <c r="E176" s="670"/>
      <c r="F176" s="669" t="s">
        <v>1321</v>
      </c>
      <c r="G176" s="207" t="s">
        <v>1304</v>
      </c>
      <c r="H176" s="139">
        <v>11</v>
      </c>
      <c r="I176" s="702" t="str">
        <f t="shared" ref="I176" si="229">CONCATENATE(D176,F176,G176)</f>
        <v>아크릴 스카시_문자H:50mm, T:10mm, 영문EA</v>
      </c>
      <c r="J176" s="454">
        <f>IF(I176="인","",VLOOKUP($I:$I,단가!$A:$S,19,FALSE))</f>
        <v>24000</v>
      </c>
      <c r="K176" s="454">
        <f t="shared" si="225"/>
        <v>264000</v>
      </c>
      <c r="L176" s="454">
        <v>0</v>
      </c>
      <c r="M176" s="454">
        <f t="shared" si="226"/>
        <v>0</v>
      </c>
      <c r="N176" s="454">
        <v>0</v>
      </c>
      <c r="O176" s="454">
        <f t="shared" si="227"/>
        <v>0</v>
      </c>
      <c r="P176" s="454">
        <f t="shared" si="228"/>
        <v>264000</v>
      </c>
      <c r="Q176" s="194"/>
      <c r="R176" s="195" t="str">
        <f>"단가"&amp;VLOOKUP($I:$I,단가!$A:$B,2,FALSE)&amp;"번"</f>
        <v>단가115번</v>
      </c>
      <c r="S176" s="153"/>
      <c r="T176" s="804"/>
      <c r="U176" s="810">
        <f t="shared" si="187"/>
        <v>264000</v>
      </c>
      <c r="V176" s="703"/>
      <c r="W176" s="703"/>
      <c r="X176" s="673" t="s">
        <v>1329</v>
      </c>
      <c r="Z176" s="741"/>
    </row>
    <row r="177" spans="1:26" s="699" customFormat="1" ht="18.75" customHeight="1" x14ac:dyDescent="0.15">
      <c r="A177" s="691"/>
      <c r="B177" s="692"/>
      <c r="C177" s="693"/>
      <c r="D177" s="707"/>
      <c r="E177" s="736"/>
      <c r="F177" s="707"/>
      <c r="G177" s="737"/>
      <c r="H177" s="139">
        <v>0</v>
      </c>
      <c r="I177" s="702"/>
      <c r="J177" s="454"/>
      <c r="K177" s="454"/>
      <c r="L177" s="454"/>
      <c r="M177" s="454"/>
      <c r="N177" s="454"/>
      <c r="O177" s="454"/>
      <c r="P177" s="454"/>
      <c r="Q177" s="194"/>
      <c r="R177" s="195"/>
      <c r="S177" s="698"/>
      <c r="T177" s="804"/>
      <c r="U177" s="810">
        <f t="shared" si="187"/>
        <v>0</v>
      </c>
      <c r="V177" s="703"/>
      <c r="W177" s="703"/>
      <c r="X177" s="673"/>
      <c r="Z177" s="741"/>
    </row>
    <row r="178" spans="1:26" s="699" customFormat="1" ht="18.75" customHeight="1" x14ac:dyDescent="0.15">
      <c r="A178" s="691"/>
      <c r="B178" s="692"/>
      <c r="C178" s="693"/>
      <c r="D178" s="707"/>
      <c r="E178" s="736"/>
      <c r="F178" s="707"/>
      <c r="G178" s="737"/>
      <c r="H178" s="139">
        <v>0</v>
      </c>
      <c r="I178" s="702"/>
      <c r="J178" s="454"/>
      <c r="K178" s="454"/>
      <c r="L178" s="454"/>
      <c r="M178" s="454"/>
      <c r="N178" s="454"/>
      <c r="O178" s="454"/>
      <c r="P178" s="454"/>
      <c r="Q178" s="194"/>
      <c r="R178" s="195"/>
      <c r="S178" s="698"/>
      <c r="T178" s="804"/>
      <c r="U178" s="810">
        <f t="shared" si="187"/>
        <v>0</v>
      </c>
      <c r="V178" s="703"/>
      <c r="W178" s="703"/>
      <c r="X178" s="673"/>
      <c r="Z178" s="741"/>
    </row>
    <row r="179" spans="1:26" s="699" customFormat="1" ht="18.75" customHeight="1" x14ac:dyDescent="0.15">
      <c r="A179" s="691"/>
      <c r="B179" s="692"/>
      <c r="C179" s="693"/>
      <c r="D179" s="707"/>
      <c r="E179" s="736"/>
      <c r="F179" s="707"/>
      <c r="G179" s="737"/>
      <c r="H179" s="139">
        <v>0</v>
      </c>
      <c r="I179" s="702"/>
      <c r="J179" s="454"/>
      <c r="K179" s="454"/>
      <c r="L179" s="454"/>
      <c r="M179" s="454"/>
      <c r="N179" s="454"/>
      <c r="O179" s="454"/>
      <c r="P179" s="454"/>
      <c r="Q179" s="194"/>
      <c r="R179" s="195"/>
      <c r="S179" s="698"/>
      <c r="T179" s="804"/>
      <c r="U179" s="810">
        <f t="shared" si="187"/>
        <v>0</v>
      </c>
      <c r="V179" s="703"/>
      <c r="W179" s="703"/>
      <c r="X179" s="673"/>
      <c r="Z179" s="741"/>
    </row>
    <row r="180" spans="1:26" s="699" customFormat="1" ht="18.75" customHeight="1" x14ac:dyDescent="0.15">
      <c r="A180" s="691"/>
      <c r="B180" s="692"/>
      <c r="C180" s="693"/>
      <c r="D180" s="707"/>
      <c r="E180" s="736"/>
      <c r="F180" s="707"/>
      <c r="G180" s="737"/>
      <c r="H180" s="139">
        <v>0</v>
      </c>
      <c r="I180" s="702"/>
      <c r="J180" s="454"/>
      <c r="K180" s="454"/>
      <c r="L180" s="454"/>
      <c r="M180" s="454"/>
      <c r="N180" s="454"/>
      <c r="O180" s="454"/>
      <c r="P180" s="454"/>
      <c r="Q180" s="194"/>
      <c r="R180" s="195"/>
      <c r="S180" s="698"/>
      <c r="T180" s="804"/>
      <c r="U180" s="810">
        <f t="shared" si="187"/>
        <v>0</v>
      </c>
      <c r="V180" s="703"/>
      <c r="W180" s="703"/>
      <c r="X180" s="673"/>
      <c r="Z180" s="741"/>
    </row>
    <row r="181" spans="1:26" s="598" customFormat="1" ht="18.95" customHeight="1" x14ac:dyDescent="0.15">
      <c r="A181" s="587"/>
      <c r="B181" s="588"/>
      <c r="C181" s="589" t="s">
        <v>346</v>
      </c>
      <c r="D181" s="720"/>
      <c r="E181" s="590"/>
      <c r="F181" s="591"/>
      <c r="G181" s="592"/>
      <c r="H181" s="593">
        <v>0</v>
      </c>
      <c r="I181" s="656" t="str">
        <f>D160</f>
        <v>사인그래픽</v>
      </c>
      <c r="J181" s="594"/>
      <c r="K181" s="594">
        <f>SUM(K160:K180)</f>
        <v>3621000</v>
      </c>
      <c r="L181" s="594"/>
      <c r="M181" s="594">
        <f>SUM(M160:M180)</f>
        <v>0</v>
      </c>
      <c r="N181" s="594"/>
      <c r="O181" s="594">
        <f>SUM(O160:O180)</f>
        <v>0</v>
      </c>
      <c r="P181" s="594">
        <f>SUM(K181,M181,O181)</f>
        <v>3621000</v>
      </c>
      <c r="Q181" s="595"/>
      <c r="R181" s="596"/>
      <c r="S181" s="597"/>
      <c r="T181" s="808"/>
      <c r="U181" s="810">
        <f t="shared" si="187"/>
        <v>0</v>
      </c>
      <c r="V181" s="703" t="s">
        <v>346</v>
      </c>
      <c r="W181" s="703">
        <f>A160</f>
        <v>5</v>
      </c>
      <c r="X181" s="673">
        <v>0</v>
      </c>
      <c r="Z181" s="742"/>
    </row>
    <row r="182" spans="1:26" s="699" customFormat="1" ht="18.75" customHeight="1" x14ac:dyDescent="0.15">
      <c r="A182" s="864">
        <f>집계!A11</f>
        <v>6</v>
      </c>
      <c r="B182" s="655"/>
      <c r="C182" s="574"/>
      <c r="D182" s="669" t="str">
        <f>집계!D11</f>
        <v>영상장비</v>
      </c>
      <c r="E182" s="670"/>
      <c r="F182" s="669"/>
      <c r="G182" s="207"/>
      <c r="H182" s="139">
        <v>0</v>
      </c>
      <c r="I182" s="702"/>
      <c r="J182" s="454"/>
      <c r="K182" s="454"/>
      <c r="L182" s="454"/>
      <c r="M182" s="454"/>
      <c r="N182" s="454"/>
      <c r="O182" s="454"/>
      <c r="P182" s="454"/>
      <c r="Q182" s="194"/>
      <c r="R182" s="195"/>
      <c r="S182" s="153"/>
      <c r="T182" s="804"/>
      <c r="U182" s="810">
        <f t="shared" ref="U182:U203" si="230">TRUNC(SUM(J182,L182,N182)*H182)</f>
        <v>0</v>
      </c>
      <c r="V182" s="703"/>
      <c r="W182" s="703"/>
      <c r="X182" s="673"/>
      <c r="Z182" s="741"/>
    </row>
    <row r="183" spans="1:26" s="699" customFormat="1" ht="18.75" customHeight="1" x14ac:dyDescent="0.15">
      <c r="A183" s="692"/>
      <c r="B183" s="710" t="s">
        <v>1299</v>
      </c>
      <c r="C183" s="693"/>
      <c r="D183" s="669" t="s">
        <v>1524</v>
      </c>
      <c r="E183" s="736"/>
      <c r="F183" s="669" t="s">
        <v>1525</v>
      </c>
      <c r="G183" s="737"/>
      <c r="H183" s="694">
        <v>0</v>
      </c>
      <c r="I183" s="702"/>
      <c r="J183" s="695"/>
      <c r="K183" s="695"/>
      <c r="L183" s="695"/>
      <c r="M183" s="695"/>
      <c r="N183" s="695"/>
      <c r="O183" s="695"/>
      <c r="P183" s="695"/>
      <c r="Q183" s="696"/>
      <c r="R183" s="697"/>
      <c r="S183" s="698"/>
      <c r="T183" s="804"/>
      <c r="U183" s="810">
        <f t="shared" si="230"/>
        <v>0</v>
      </c>
      <c r="V183" s="703"/>
      <c r="W183" s="703"/>
      <c r="X183" s="673"/>
      <c r="Z183" s="741"/>
    </row>
    <row r="184" spans="1:26" s="699" customFormat="1" ht="18.75" customHeight="1" x14ac:dyDescent="0.15">
      <c r="A184" s="691"/>
      <c r="B184" s="692"/>
      <c r="C184" s="693"/>
      <c r="D184" s="629" t="s">
        <v>1491</v>
      </c>
      <c r="E184" s="670"/>
      <c r="F184" s="629" t="s">
        <v>1493</v>
      </c>
      <c r="G184" s="207" t="s">
        <v>1494</v>
      </c>
      <c r="H184" s="139">
        <v>4</v>
      </c>
      <c r="I184" s="702" t="str">
        <f t="shared" ref="I184:I187" si="231">CONCATENATE(D184,F184,G184)</f>
        <v>DID MULTI MONITOR55" Full-HD,Silm BezelEA</v>
      </c>
      <c r="J184" s="454">
        <f>IF($G184="인","",VLOOKUP($I:$I,목록!$A:$M,8,FALSE))</f>
        <v>2400000</v>
      </c>
      <c r="K184" s="454">
        <f t="shared" ref="K184:K187" si="232">IF(J184="","",TRUNC(J184*$H184,0))</f>
        <v>9600000</v>
      </c>
      <c r="L184" s="454">
        <f>IF($G184="인","",VLOOKUP($I:$I,목록!$A:$M,9,FALSE))</f>
        <v>206389</v>
      </c>
      <c r="M184" s="454">
        <f t="shared" ref="M184:M187" si="233">IF(L184="","",TRUNC(L184*$H184,0))</f>
        <v>825556</v>
      </c>
      <c r="N184" s="454" t="str">
        <f>IF($G184="인","",VLOOKUP($I:$I,목록!$A:$M,10,FALSE))</f>
        <v/>
      </c>
      <c r="O184" s="454" t="str">
        <f t="shared" ref="O184:O187" si="234">IF(N184="","",TRUNC(N184*$H184,0))</f>
        <v/>
      </c>
      <c r="P184" s="454">
        <f t="shared" ref="P184:P187" si="235">SUM(K184,M184,O184)</f>
        <v>10425556</v>
      </c>
      <c r="Q184" s="194"/>
      <c r="R184" s="195" t="str">
        <f>"제"&amp;VLOOKUP($I:$I,목록!$A:$M,2,FALSE)&amp;"호표"</f>
        <v>제49호표</v>
      </c>
      <c r="S184" s="698"/>
      <c r="T184" s="804"/>
      <c r="U184" s="810">
        <f t="shared" ref="U184:U201" si="236">TRUNC(SUM(J184,L184,N184)*H184)</f>
        <v>10425556</v>
      </c>
      <c r="V184" s="703"/>
      <c r="W184" s="703"/>
      <c r="X184" s="673" t="s">
        <v>1520</v>
      </c>
      <c r="Z184" s="741"/>
    </row>
    <row r="185" spans="1:26" s="699" customFormat="1" ht="18.75" customHeight="1" x14ac:dyDescent="0.15">
      <c r="A185" s="691"/>
      <c r="B185" s="692"/>
      <c r="C185" s="693"/>
      <c r="D185" s="629" t="s">
        <v>1495</v>
      </c>
      <c r="E185" s="670">
        <v>0</v>
      </c>
      <c r="F185" s="629" t="s">
        <v>1496</v>
      </c>
      <c r="G185" s="207" t="s">
        <v>352</v>
      </c>
      <c r="H185" s="139">
        <v>4</v>
      </c>
      <c r="I185" s="702" t="str">
        <f t="shared" si="231"/>
        <v>MONITOR BRACKET벽부형, 대형EA</v>
      </c>
      <c r="J185" s="454">
        <f>IF($G185="인","",VLOOKUP($I:$I,목록!$A:$M,8,FALSE))</f>
        <v>220000</v>
      </c>
      <c r="K185" s="454">
        <f t="shared" si="232"/>
        <v>880000</v>
      </c>
      <c r="L185" s="454">
        <f>IF($G185="인","",VLOOKUP($I:$I,목록!$A:$M,9,FALSE))</f>
        <v>141452</v>
      </c>
      <c r="M185" s="454">
        <f t="shared" si="233"/>
        <v>565808</v>
      </c>
      <c r="N185" s="454" t="str">
        <f>IF($G185="인","",VLOOKUP($I:$I,목록!$A:$M,10,FALSE))</f>
        <v/>
      </c>
      <c r="O185" s="454" t="str">
        <f t="shared" si="234"/>
        <v/>
      </c>
      <c r="P185" s="454">
        <f t="shared" si="235"/>
        <v>1445808</v>
      </c>
      <c r="Q185" s="194"/>
      <c r="R185" s="195" t="str">
        <f>"제"&amp;VLOOKUP($I:$I,목록!$A:$M,2,FALSE)&amp;"호표"</f>
        <v>제50호표</v>
      </c>
      <c r="S185" s="698"/>
      <c r="T185" s="804"/>
      <c r="U185" s="810">
        <f t="shared" si="236"/>
        <v>1445808</v>
      </c>
      <c r="V185" s="703"/>
      <c r="W185" s="703"/>
      <c r="X185" s="673" t="s">
        <v>1521</v>
      </c>
      <c r="Z185" s="741"/>
    </row>
    <row r="186" spans="1:26" s="699" customFormat="1" ht="18.75" customHeight="1" x14ac:dyDescent="0.15">
      <c r="A186" s="691"/>
      <c r="B186" s="692"/>
      <c r="C186" s="693"/>
      <c r="D186" s="629" t="s">
        <v>1497</v>
      </c>
      <c r="E186" s="670"/>
      <c r="F186" s="629" t="s">
        <v>1498</v>
      </c>
      <c r="G186" s="207" t="s">
        <v>352</v>
      </c>
      <c r="H186" s="139">
        <v>1</v>
      </c>
      <c r="I186" s="702" t="str">
        <f t="shared" si="231"/>
        <v>CONTROL COMPUTERi7EA</v>
      </c>
      <c r="J186" s="454">
        <f>IF($G186="인","",VLOOKUP($I:$I,목록!$A:$M,8,FALSE))</f>
        <v>950000</v>
      </c>
      <c r="K186" s="454">
        <f t="shared" si="232"/>
        <v>950000</v>
      </c>
      <c r="L186" s="454">
        <f>IF($G186="인","",VLOOKUP($I:$I,목록!$A:$M,9,FALSE))</f>
        <v>55755</v>
      </c>
      <c r="M186" s="454">
        <f t="shared" si="233"/>
        <v>55755</v>
      </c>
      <c r="N186" s="454" t="str">
        <f>IF($G186="인","",VLOOKUP($I:$I,목록!$A:$M,10,FALSE))</f>
        <v/>
      </c>
      <c r="O186" s="454" t="str">
        <f t="shared" si="234"/>
        <v/>
      </c>
      <c r="P186" s="454">
        <f t="shared" si="235"/>
        <v>1005755</v>
      </c>
      <c r="Q186" s="194"/>
      <c r="R186" s="195" t="str">
        <f>"제"&amp;VLOOKUP($I:$I,목록!$A:$M,2,FALSE)&amp;"호표"</f>
        <v>제51호표</v>
      </c>
      <c r="S186" s="698"/>
      <c r="T186" s="804"/>
      <c r="U186" s="810">
        <f t="shared" si="236"/>
        <v>1005755</v>
      </c>
      <c r="V186" s="703"/>
      <c r="W186" s="703"/>
      <c r="X186" s="673" t="s">
        <v>1522</v>
      </c>
      <c r="Z186" s="741"/>
    </row>
    <row r="187" spans="1:26" s="699" customFormat="1" ht="18.75" customHeight="1" x14ac:dyDescent="0.15">
      <c r="A187" s="691"/>
      <c r="B187" s="692"/>
      <c r="C187" s="693"/>
      <c r="D187" s="629" t="s">
        <v>1526</v>
      </c>
      <c r="E187" s="670"/>
      <c r="F187" s="629" t="s">
        <v>1527</v>
      </c>
      <c r="G187" s="207" t="s">
        <v>352</v>
      </c>
      <c r="H187" s="139">
        <v>1</v>
      </c>
      <c r="I187" s="702" t="str">
        <f t="shared" si="231"/>
        <v>순차전원공급기8CH, NETWORKEA</v>
      </c>
      <c r="J187" s="454">
        <f>IF($G187="인","",VLOOKUP($I:$I,목록!$A:$M,8,FALSE))</f>
        <v>420000</v>
      </c>
      <c r="K187" s="454">
        <f t="shared" si="232"/>
        <v>420000</v>
      </c>
      <c r="L187" s="454">
        <f>IF($G187="인","",VLOOKUP($I:$I,목록!$A:$M,9,FALSE))</f>
        <v>183140</v>
      </c>
      <c r="M187" s="454">
        <f t="shared" si="233"/>
        <v>183140</v>
      </c>
      <c r="N187" s="454" t="str">
        <f>IF($G187="인","",VLOOKUP($I:$I,목록!$A:$M,10,FALSE))</f>
        <v/>
      </c>
      <c r="O187" s="454" t="str">
        <f t="shared" si="234"/>
        <v/>
      </c>
      <c r="P187" s="454">
        <f t="shared" si="235"/>
        <v>603140</v>
      </c>
      <c r="Q187" s="194"/>
      <c r="R187" s="195" t="str">
        <f>"제"&amp;VLOOKUP($I:$I,목록!$A:$M,2,FALSE)&amp;"호표"</f>
        <v>제52호표</v>
      </c>
      <c r="S187" s="698"/>
      <c r="T187" s="804"/>
      <c r="U187" s="810">
        <f t="shared" si="236"/>
        <v>603140</v>
      </c>
      <c r="V187" s="703"/>
      <c r="W187" s="703"/>
      <c r="X187" s="673" t="s">
        <v>1419</v>
      </c>
      <c r="Z187" s="741"/>
    </row>
    <row r="188" spans="1:26" s="699" customFormat="1" ht="18.75" customHeight="1" x14ac:dyDescent="0.15">
      <c r="A188" s="691"/>
      <c r="B188" s="692"/>
      <c r="C188" s="693"/>
      <c r="D188" s="629" t="s">
        <v>1528</v>
      </c>
      <c r="E188" s="670"/>
      <c r="F188" s="629"/>
      <c r="G188" s="207" t="s">
        <v>352</v>
      </c>
      <c r="H188" s="139">
        <v>1</v>
      </c>
      <c r="I188" s="702" t="str">
        <f t="shared" ref="I188:I189" si="237">CONCATENATE(D188,F188,G188)</f>
        <v>Sequence power switcherEA</v>
      </c>
      <c r="J188" s="454">
        <f>IF($G188="인","",VLOOKUP($I:$I,목록!$A:$M,8,FALSE))</f>
        <v>450000</v>
      </c>
      <c r="K188" s="454">
        <f t="shared" ref="K188:K189" si="238">IF(J188="","",TRUNC(J188*$H188,0))</f>
        <v>450000</v>
      </c>
      <c r="L188" s="454">
        <f>IF($G188="인","",VLOOKUP($I:$I,목록!$A:$M,9,FALSE))</f>
        <v>99426</v>
      </c>
      <c r="M188" s="454">
        <f t="shared" ref="M188:M189" si="239">IF(L188="","",TRUNC(L188*$H188,0))</f>
        <v>99426</v>
      </c>
      <c r="N188" s="454" t="str">
        <f>IF($G188="인","",VLOOKUP($I:$I,목록!$A:$M,10,FALSE))</f>
        <v/>
      </c>
      <c r="O188" s="454" t="str">
        <f t="shared" ref="O188:O189" si="240">IF(N188="","",TRUNC(N188*$H188,0))</f>
        <v/>
      </c>
      <c r="P188" s="454">
        <f t="shared" ref="P188:P189" si="241">SUM(K188,M188,O188)</f>
        <v>549426</v>
      </c>
      <c r="Q188" s="194"/>
      <c r="R188" s="195" t="str">
        <f>"제"&amp;VLOOKUP($I:$I,목록!$A:$M,2,FALSE)&amp;"호표"</f>
        <v>제53호표</v>
      </c>
      <c r="S188" s="698"/>
      <c r="T188" s="804"/>
      <c r="U188" s="810">
        <f t="shared" ref="U188:U189" si="242">TRUNC(SUM(J188,L188,N188)*H188)</f>
        <v>549426</v>
      </c>
      <c r="V188" s="703"/>
      <c r="W188" s="703"/>
      <c r="X188" s="673" t="s">
        <v>1419</v>
      </c>
      <c r="Z188" s="741"/>
    </row>
    <row r="189" spans="1:26" s="699" customFormat="1" ht="18.75" customHeight="1" x14ac:dyDescent="0.15">
      <c r="A189" s="691"/>
      <c r="B189" s="692"/>
      <c r="C189" s="693"/>
      <c r="D189" s="629" t="s">
        <v>1529</v>
      </c>
      <c r="E189" s="670"/>
      <c r="F189" s="629" t="s">
        <v>1530</v>
      </c>
      <c r="G189" s="207" t="s">
        <v>352</v>
      </c>
      <c r="H189" s="139">
        <v>1</v>
      </c>
      <c r="I189" s="702" t="str">
        <f t="shared" si="237"/>
        <v>BUTTON CONTROLLER제작EA</v>
      </c>
      <c r="J189" s="454">
        <f>IF($G189="인","",VLOOKUP($I:$I,목록!$A:$M,8,FALSE))</f>
        <v>900000</v>
      </c>
      <c r="K189" s="454">
        <f t="shared" si="238"/>
        <v>900000</v>
      </c>
      <c r="L189" s="454">
        <f>IF($G189="인","",VLOOKUP($I:$I,목록!$A:$M,9,FALSE))</f>
        <v>110489</v>
      </c>
      <c r="M189" s="454">
        <f t="shared" si="239"/>
        <v>110489</v>
      </c>
      <c r="N189" s="454" t="str">
        <f>IF($G189="인","",VLOOKUP($I:$I,목록!$A:$M,10,FALSE))</f>
        <v/>
      </c>
      <c r="O189" s="454" t="str">
        <f t="shared" si="240"/>
        <v/>
      </c>
      <c r="P189" s="454">
        <f t="shared" si="241"/>
        <v>1010489</v>
      </c>
      <c r="Q189" s="194"/>
      <c r="R189" s="195" t="str">
        <f>"제"&amp;VLOOKUP($I:$I,목록!$A:$M,2,FALSE)&amp;"호표"</f>
        <v>제54호표</v>
      </c>
      <c r="S189" s="698"/>
      <c r="T189" s="804"/>
      <c r="U189" s="810">
        <f t="shared" si="242"/>
        <v>1010489</v>
      </c>
      <c r="V189" s="703"/>
      <c r="W189" s="703"/>
      <c r="X189" s="673" t="s">
        <v>1419</v>
      </c>
      <c r="Z189" s="741"/>
    </row>
    <row r="190" spans="1:26" s="699" customFormat="1" ht="18.75" customHeight="1" x14ac:dyDescent="0.15">
      <c r="A190" s="691"/>
      <c r="B190" s="692"/>
      <c r="C190" s="693"/>
      <c r="D190" s="629" t="s">
        <v>1499</v>
      </c>
      <c r="E190" s="670"/>
      <c r="F190" s="629" t="s">
        <v>1500</v>
      </c>
      <c r="G190" s="207" t="s">
        <v>352</v>
      </c>
      <c r="H190" s="139">
        <v>1</v>
      </c>
      <c r="I190" s="702" t="str">
        <f t="shared" ref="I190:I191" si="243">CONCATENATE(D190,F190,G190)</f>
        <v>POWER AMP70W+70WEA</v>
      </c>
      <c r="J190" s="454">
        <f>IF($G190="인","",VLOOKUP($I:$I,목록!$A:$M,8,FALSE))</f>
        <v>400000</v>
      </c>
      <c r="K190" s="454">
        <f t="shared" ref="K190:K191" si="244">IF(J190="","",TRUNC(J190*$H190,0))</f>
        <v>400000</v>
      </c>
      <c r="L190" s="454">
        <f>IF($G190="인","",VLOOKUP($I:$I,목록!$A:$M,9,FALSE))</f>
        <v>415624</v>
      </c>
      <c r="M190" s="454">
        <f t="shared" ref="M190:M191" si="245">IF(L190="","",TRUNC(L190*$H190,0))</f>
        <v>415624</v>
      </c>
      <c r="N190" s="454" t="str">
        <f>IF($G190="인","",VLOOKUP($I:$I,목록!$A:$M,10,FALSE))</f>
        <v/>
      </c>
      <c r="O190" s="454" t="str">
        <f t="shared" ref="O190:O191" si="246">IF(N190="","",TRUNC(N190*$H190,0))</f>
        <v/>
      </c>
      <c r="P190" s="454">
        <f t="shared" ref="P190:P191" si="247">SUM(K190,M190,O190)</f>
        <v>815624</v>
      </c>
      <c r="Q190" s="194"/>
      <c r="R190" s="195" t="str">
        <f>"제"&amp;VLOOKUP($I:$I,목록!$A:$M,2,FALSE)&amp;"호표"</f>
        <v>제55호표</v>
      </c>
      <c r="S190" s="698"/>
      <c r="T190" s="804"/>
      <c r="U190" s="810">
        <f t="shared" ref="U190:U191" si="248">TRUNC(SUM(J190,L190,N190)*H190)</f>
        <v>815624</v>
      </c>
      <c r="V190" s="703"/>
      <c r="W190" s="703"/>
      <c r="X190" s="673" t="s">
        <v>1419</v>
      </c>
      <c r="Z190" s="741"/>
    </row>
    <row r="191" spans="1:26" s="699" customFormat="1" ht="18.75" customHeight="1" x14ac:dyDescent="0.15">
      <c r="A191" s="691"/>
      <c r="B191" s="692"/>
      <c r="C191" s="693"/>
      <c r="D191" s="629" t="s">
        <v>1501</v>
      </c>
      <c r="E191" s="670"/>
      <c r="F191" s="629" t="s">
        <v>1502</v>
      </c>
      <c r="G191" s="207" t="s">
        <v>352</v>
      </c>
      <c r="H191" s="139">
        <v>2</v>
      </c>
      <c r="I191" s="702" t="str">
        <f t="shared" si="243"/>
        <v>PC SPEAKERPoweredEA</v>
      </c>
      <c r="J191" s="454">
        <f>IF(I191="인","",VLOOKUP($I:$I,단가!$A:$S,19,FALSE))</f>
        <v>40000</v>
      </c>
      <c r="K191" s="454">
        <f t="shared" si="244"/>
        <v>80000</v>
      </c>
      <c r="L191" s="454">
        <v>0</v>
      </c>
      <c r="M191" s="454">
        <f t="shared" si="245"/>
        <v>0</v>
      </c>
      <c r="N191" s="454">
        <v>0</v>
      </c>
      <c r="O191" s="454">
        <f t="shared" si="246"/>
        <v>0</v>
      </c>
      <c r="P191" s="454">
        <f t="shared" si="247"/>
        <v>80000</v>
      </c>
      <c r="Q191" s="194"/>
      <c r="R191" s="195" t="str">
        <f>"단가"&amp;VLOOKUP($I:$I,단가!$A:$B,2,FALSE)&amp;"번"</f>
        <v>단가124번</v>
      </c>
      <c r="S191" s="698"/>
      <c r="T191" s="804"/>
      <c r="U191" s="810">
        <f t="shared" si="248"/>
        <v>80000</v>
      </c>
      <c r="V191" s="703"/>
      <c r="W191" s="703"/>
      <c r="X191" s="673" t="s">
        <v>1523</v>
      </c>
      <c r="Z191" s="741"/>
    </row>
    <row r="192" spans="1:26" s="699" customFormat="1" ht="18.75" customHeight="1" x14ac:dyDescent="0.15">
      <c r="A192" s="691"/>
      <c r="B192" s="692"/>
      <c r="C192" s="693"/>
      <c r="D192" s="707"/>
      <c r="E192" s="736"/>
      <c r="F192" s="707"/>
      <c r="G192" s="737"/>
      <c r="H192" s="139">
        <v>0</v>
      </c>
      <c r="I192" s="702"/>
      <c r="J192" s="454"/>
      <c r="K192" s="454"/>
      <c r="L192" s="454"/>
      <c r="M192" s="454"/>
      <c r="N192" s="454"/>
      <c r="O192" s="454"/>
      <c r="P192" s="454"/>
      <c r="Q192" s="194"/>
      <c r="R192" s="195"/>
      <c r="S192" s="698"/>
      <c r="T192" s="804"/>
      <c r="U192" s="810">
        <f t="shared" si="236"/>
        <v>0</v>
      </c>
      <c r="V192" s="703"/>
      <c r="W192" s="703"/>
      <c r="X192" s="673"/>
      <c r="Z192" s="741"/>
    </row>
    <row r="193" spans="1:26" s="699" customFormat="1" ht="18.75" customHeight="1" x14ac:dyDescent="0.15">
      <c r="A193" s="691"/>
      <c r="B193" s="692"/>
      <c r="C193" s="693"/>
      <c r="D193" s="707"/>
      <c r="E193" s="736"/>
      <c r="F193" s="707"/>
      <c r="G193" s="737"/>
      <c r="H193" s="139">
        <v>0</v>
      </c>
      <c r="I193" s="702"/>
      <c r="J193" s="454"/>
      <c r="K193" s="454"/>
      <c r="L193" s="454"/>
      <c r="M193" s="454"/>
      <c r="N193" s="454"/>
      <c r="O193" s="454"/>
      <c r="P193" s="454"/>
      <c r="Q193" s="194"/>
      <c r="R193" s="195"/>
      <c r="S193" s="698"/>
      <c r="T193" s="804"/>
      <c r="U193" s="810">
        <f t="shared" si="236"/>
        <v>0</v>
      </c>
      <c r="V193" s="703"/>
      <c r="W193" s="703"/>
      <c r="X193" s="673"/>
      <c r="Z193" s="741"/>
    </row>
    <row r="194" spans="1:26" s="699" customFormat="1" ht="18.75" customHeight="1" x14ac:dyDescent="0.15">
      <c r="A194" s="691"/>
      <c r="B194" s="692"/>
      <c r="C194" s="693"/>
      <c r="D194" s="707"/>
      <c r="E194" s="736"/>
      <c r="F194" s="707"/>
      <c r="G194" s="737"/>
      <c r="H194" s="139">
        <v>0</v>
      </c>
      <c r="I194" s="702"/>
      <c r="J194" s="454"/>
      <c r="K194" s="454"/>
      <c r="L194" s="454"/>
      <c r="M194" s="454"/>
      <c r="N194" s="454"/>
      <c r="O194" s="454"/>
      <c r="P194" s="454"/>
      <c r="Q194" s="194"/>
      <c r="R194" s="195"/>
      <c r="S194" s="698"/>
      <c r="T194" s="804"/>
      <c r="U194" s="810">
        <f t="shared" si="236"/>
        <v>0</v>
      </c>
      <c r="V194" s="703"/>
      <c r="W194" s="703"/>
      <c r="X194" s="673"/>
      <c r="Z194" s="741"/>
    </row>
    <row r="195" spans="1:26" s="699" customFormat="1" ht="18.75" customHeight="1" x14ac:dyDescent="0.15">
      <c r="A195" s="691"/>
      <c r="B195" s="692"/>
      <c r="C195" s="693"/>
      <c r="D195" s="707"/>
      <c r="E195" s="736"/>
      <c r="F195" s="707"/>
      <c r="G195" s="737"/>
      <c r="H195" s="139">
        <v>0</v>
      </c>
      <c r="I195" s="702"/>
      <c r="J195" s="454"/>
      <c r="K195" s="454"/>
      <c r="L195" s="454"/>
      <c r="M195" s="454"/>
      <c r="N195" s="454"/>
      <c r="O195" s="454"/>
      <c r="P195" s="454"/>
      <c r="Q195" s="194"/>
      <c r="R195" s="195"/>
      <c r="S195" s="698"/>
      <c r="T195" s="804"/>
      <c r="U195" s="810">
        <f t="shared" si="236"/>
        <v>0</v>
      </c>
      <c r="V195" s="703"/>
      <c r="W195" s="703"/>
      <c r="X195" s="673"/>
      <c r="Z195" s="741"/>
    </row>
    <row r="196" spans="1:26" s="699" customFormat="1" ht="18.75" customHeight="1" x14ac:dyDescent="0.15">
      <c r="A196" s="691"/>
      <c r="B196" s="692"/>
      <c r="C196" s="693"/>
      <c r="D196" s="707"/>
      <c r="E196" s="736"/>
      <c r="F196" s="707"/>
      <c r="G196" s="737"/>
      <c r="H196" s="139">
        <v>0</v>
      </c>
      <c r="I196" s="702"/>
      <c r="J196" s="454"/>
      <c r="K196" s="454"/>
      <c r="L196" s="454"/>
      <c r="M196" s="454"/>
      <c r="N196" s="454"/>
      <c r="O196" s="454"/>
      <c r="P196" s="454"/>
      <c r="Q196" s="194"/>
      <c r="R196" s="195"/>
      <c r="S196" s="698"/>
      <c r="T196" s="804"/>
      <c r="U196" s="810">
        <f t="shared" si="236"/>
        <v>0</v>
      </c>
      <c r="V196" s="703"/>
      <c r="W196" s="703"/>
      <c r="X196" s="673"/>
      <c r="Z196" s="741"/>
    </row>
    <row r="197" spans="1:26" s="699" customFormat="1" ht="18.75" customHeight="1" x14ac:dyDescent="0.15">
      <c r="A197" s="691"/>
      <c r="B197" s="692"/>
      <c r="C197" s="693"/>
      <c r="D197" s="707"/>
      <c r="E197" s="736"/>
      <c r="F197" s="707"/>
      <c r="G197" s="737"/>
      <c r="H197" s="139">
        <v>0</v>
      </c>
      <c r="I197" s="702"/>
      <c r="J197" s="454"/>
      <c r="K197" s="454"/>
      <c r="L197" s="454"/>
      <c r="M197" s="454"/>
      <c r="N197" s="454"/>
      <c r="O197" s="454"/>
      <c r="P197" s="454"/>
      <c r="Q197" s="194"/>
      <c r="R197" s="195"/>
      <c r="S197" s="698"/>
      <c r="T197" s="804"/>
      <c r="U197" s="810">
        <f t="shared" si="236"/>
        <v>0</v>
      </c>
      <c r="V197" s="703"/>
      <c r="W197" s="703"/>
      <c r="X197" s="673"/>
      <c r="Z197" s="741"/>
    </row>
    <row r="198" spans="1:26" s="699" customFormat="1" ht="18.75" customHeight="1" x14ac:dyDescent="0.15">
      <c r="A198" s="691"/>
      <c r="B198" s="692"/>
      <c r="C198" s="693"/>
      <c r="D198" s="707"/>
      <c r="E198" s="736"/>
      <c r="F198" s="707"/>
      <c r="G198" s="737"/>
      <c r="H198" s="139">
        <v>0</v>
      </c>
      <c r="I198" s="702"/>
      <c r="J198" s="454"/>
      <c r="K198" s="454"/>
      <c r="L198" s="454"/>
      <c r="M198" s="454"/>
      <c r="N198" s="454"/>
      <c r="O198" s="454"/>
      <c r="P198" s="454"/>
      <c r="Q198" s="194"/>
      <c r="R198" s="195"/>
      <c r="S198" s="698"/>
      <c r="T198" s="804"/>
      <c r="U198" s="810">
        <f t="shared" si="236"/>
        <v>0</v>
      </c>
      <c r="V198" s="703"/>
      <c r="W198" s="703"/>
      <c r="X198" s="673"/>
      <c r="Z198" s="741"/>
    </row>
    <row r="199" spans="1:26" s="699" customFormat="1" ht="18.75" customHeight="1" x14ac:dyDescent="0.15">
      <c r="A199" s="691"/>
      <c r="B199" s="692"/>
      <c r="C199" s="693"/>
      <c r="D199" s="707"/>
      <c r="E199" s="736"/>
      <c r="F199" s="707"/>
      <c r="G199" s="737"/>
      <c r="H199" s="139">
        <v>0</v>
      </c>
      <c r="I199" s="702"/>
      <c r="J199" s="454"/>
      <c r="K199" s="454"/>
      <c r="L199" s="454"/>
      <c r="M199" s="454"/>
      <c r="N199" s="454"/>
      <c r="O199" s="454"/>
      <c r="P199" s="454"/>
      <c r="Q199" s="194"/>
      <c r="R199" s="195"/>
      <c r="S199" s="698"/>
      <c r="T199" s="804"/>
      <c r="U199" s="810">
        <f t="shared" si="236"/>
        <v>0</v>
      </c>
      <c r="V199" s="703"/>
      <c r="W199" s="703"/>
      <c r="X199" s="673"/>
      <c r="Z199" s="741"/>
    </row>
    <row r="200" spans="1:26" s="699" customFormat="1" ht="18.75" customHeight="1" x14ac:dyDescent="0.15">
      <c r="A200" s="691"/>
      <c r="B200" s="692"/>
      <c r="C200" s="693"/>
      <c r="D200" s="707"/>
      <c r="E200" s="736"/>
      <c r="F200" s="707"/>
      <c r="G200" s="737"/>
      <c r="H200" s="139">
        <v>0</v>
      </c>
      <c r="I200" s="702"/>
      <c r="J200" s="454"/>
      <c r="K200" s="454"/>
      <c r="L200" s="454"/>
      <c r="M200" s="454"/>
      <c r="N200" s="454"/>
      <c r="O200" s="454"/>
      <c r="P200" s="454"/>
      <c r="Q200" s="194"/>
      <c r="R200" s="195"/>
      <c r="S200" s="698"/>
      <c r="T200" s="804"/>
      <c r="U200" s="810">
        <f t="shared" si="236"/>
        <v>0</v>
      </c>
      <c r="V200" s="703"/>
      <c r="W200" s="703"/>
      <c r="X200" s="673"/>
      <c r="Z200" s="741"/>
    </row>
    <row r="201" spans="1:26" s="699" customFormat="1" ht="18.75" customHeight="1" x14ac:dyDescent="0.15">
      <c r="A201" s="691"/>
      <c r="B201" s="692"/>
      <c r="C201" s="693"/>
      <c r="D201" s="707"/>
      <c r="E201" s="736"/>
      <c r="F201" s="707"/>
      <c r="G201" s="737"/>
      <c r="H201" s="139">
        <v>0</v>
      </c>
      <c r="I201" s="702"/>
      <c r="J201" s="454"/>
      <c r="K201" s="454"/>
      <c r="L201" s="454"/>
      <c r="M201" s="454"/>
      <c r="N201" s="454"/>
      <c r="O201" s="454"/>
      <c r="P201" s="454"/>
      <c r="Q201" s="194"/>
      <c r="R201" s="195"/>
      <c r="S201" s="698"/>
      <c r="T201" s="804"/>
      <c r="U201" s="810">
        <f t="shared" si="236"/>
        <v>0</v>
      </c>
      <c r="V201" s="703"/>
      <c r="W201" s="703"/>
      <c r="X201" s="673"/>
      <c r="Z201" s="741"/>
    </row>
    <row r="202" spans="1:26" s="699" customFormat="1" ht="18.75" customHeight="1" x14ac:dyDescent="0.15">
      <c r="A202" s="691"/>
      <c r="B202" s="692"/>
      <c r="C202" s="693"/>
      <c r="D202" s="707"/>
      <c r="E202" s="736"/>
      <c r="F202" s="707"/>
      <c r="G202" s="737"/>
      <c r="H202" s="139">
        <v>0</v>
      </c>
      <c r="I202" s="702"/>
      <c r="J202" s="454"/>
      <c r="K202" s="454"/>
      <c r="L202" s="454"/>
      <c r="M202" s="454"/>
      <c r="N202" s="454"/>
      <c r="O202" s="454"/>
      <c r="P202" s="454"/>
      <c r="Q202" s="194"/>
      <c r="R202" s="195"/>
      <c r="S202" s="698"/>
      <c r="T202" s="804"/>
      <c r="U202" s="810">
        <f t="shared" si="230"/>
        <v>0</v>
      </c>
      <c r="V202" s="703"/>
      <c r="W202" s="703"/>
      <c r="X202" s="673"/>
      <c r="Z202" s="741"/>
    </row>
    <row r="203" spans="1:26" s="598" customFormat="1" ht="18.95" customHeight="1" x14ac:dyDescent="0.15">
      <c r="A203" s="587"/>
      <c r="B203" s="588"/>
      <c r="C203" s="589" t="s">
        <v>346</v>
      </c>
      <c r="D203" s="720"/>
      <c r="E203" s="590"/>
      <c r="F203" s="591"/>
      <c r="G203" s="592"/>
      <c r="H203" s="593">
        <v>0</v>
      </c>
      <c r="I203" s="656" t="str">
        <f>D182</f>
        <v>영상장비</v>
      </c>
      <c r="J203" s="594"/>
      <c r="K203" s="594">
        <f>SUM(K182:K202)</f>
        <v>13680000</v>
      </c>
      <c r="L203" s="594"/>
      <c r="M203" s="594">
        <f>SUM(M182:M202)</f>
        <v>2255798</v>
      </c>
      <c r="N203" s="594"/>
      <c r="O203" s="594">
        <f>SUM(O182:O202)</f>
        <v>0</v>
      </c>
      <c r="P203" s="594">
        <f>SUM(K203,M203,O203)</f>
        <v>15935798</v>
      </c>
      <c r="Q203" s="595"/>
      <c r="R203" s="596"/>
      <c r="S203" s="597"/>
      <c r="T203" s="808"/>
      <c r="U203" s="810">
        <f t="shared" si="230"/>
        <v>0</v>
      </c>
      <c r="V203" s="703" t="s">
        <v>346</v>
      </c>
      <c r="W203" s="703">
        <f>A182</f>
        <v>6</v>
      </c>
      <c r="X203" s="673">
        <v>0</v>
      </c>
      <c r="Z203" s="742"/>
    </row>
  </sheetData>
  <autoFilter ref="A1:X184"/>
  <mergeCells count="7">
    <mergeCell ref="R5:R6"/>
    <mergeCell ref="A5:B6"/>
    <mergeCell ref="C5:D6"/>
    <mergeCell ref="E5:F6"/>
    <mergeCell ref="G5:G6"/>
    <mergeCell ref="H5:H6"/>
    <mergeCell ref="P5:P6"/>
  </mergeCells>
  <phoneticPr fontId="6" type="noConversion"/>
  <printOptions horizontalCentered="1"/>
  <pageMargins left="0.39370078740157483" right="0.39370078740157483" top="0.70866141732283472" bottom="0.51181102362204722" header="0.51181102362204722" footer="0.51181102362204722"/>
  <pageSetup paperSize="9" scale="94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02"/>
  <sheetViews>
    <sheetView showZeros="0" view="pageBreakPreview" zoomScale="85" zoomScaleSheetLayoutView="85" workbookViewId="0">
      <selection activeCell="J17" sqref="J17"/>
    </sheetView>
  </sheetViews>
  <sheetFormatPr defaultRowHeight="16.5" x14ac:dyDescent="0.15"/>
  <cols>
    <col min="1" max="2" width="4.7109375" style="160" customWidth="1"/>
    <col min="3" max="3" width="0.5703125" style="160" customWidth="1"/>
    <col min="4" max="4" width="28.85546875" style="160" customWidth="1"/>
    <col min="5" max="5" width="0.5703125" style="160" customWidth="1"/>
    <col min="6" max="6" width="28.85546875" style="160" customWidth="1"/>
    <col min="7" max="7" width="6.7109375" style="155" customWidth="1"/>
    <col min="8" max="8" width="10.85546875" style="156" customWidth="1"/>
    <col min="9" max="9" width="1.28515625" style="173" customWidth="1"/>
    <col min="10" max="10" width="67.140625" style="172" customWidth="1"/>
    <col min="11" max="11" width="10.28515625" style="155" customWidth="1"/>
    <col min="12" max="12" width="10.28515625" style="180" customWidth="1"/>
    <col min="13" max="13" width="9.140625" style="160"/>
    <col min="14" max="14" width="42.42578125" style="160" customWidth="1"/>
    <col min="15" max="16384" width="9.140625" style="160"/>
  </cols>
  <sheetData>
    <row r="1" spans="1:13" ht="20.100000000000001" customHeight="1" x14ac:dyDescent="0.15">
      <c r="A1" s="160" t="s">
        <v>1065</v>
      </c>
    </row>
    <row r="2" spans="1:13" ht="39.950000000000003" customHeight="1" x14ac:dyDescent="0.15">
      <c r="A2" s="157" t="s">
        <v>1066</v>
      </c>
      <c r="B2" s="157"/>
      <c r="C2" s="157"/>
      <c r="D2" s="157"/>
      <c r="E2" s="158"/>
      <c r="F2" s="158"/>
      <c r="G2" s="158"/>
      <c r="H2" s="158"/>
      <c r="I2" s="175"/>
      <c r="J2" s="175"/>
      <c r="K2" s="158"/>
      <c r="L2" s="174"/>
    </row>
    <row r="3" spans="1:13" ht="9.9499999999999993" customHeight="1" x14ac:dyDescent="0.15">
      <c r="A3" s="158"/>
      <c r="B3" s="158"/>
      <c r="C3" s="158"/>
      <c r="D3" s="158"/>
      <c r="E3" s="158"/>
      <c r="F3" s="158"/>
      <c r="G3" s="158"/>
      <c r="H3" s="158"/>
      <c r="I3" s="175"/>
      <c r="J3" s="175"/>
      <c r="K3" s="158"/>
      <c r="L3" s="181"/>
    </row>
    <row r="4" spans="1:13" ht="20.100000000000001" customHeight="1" x14ac:dyDescent="0.15">
      <c r="A4" s="159" t="str">
        <f>원가!A3</f>
        <v>건명 : 실학박물관 중앙홀 환경개선공사</v>
      </c>
      <c r="B4" s="155"/>
      <c r="C4" s="155"/>
      <c r="D4" s="155"/>
      <c r="E4" s="155"/>
      <c r="F4" s="155"/>
      <c r="H4" s="169"/>
      <c r="I4" s="176"/>
      <c r="J4" s="177"/>
    </row>
    <row r="5" spans="1:13" ht="45" customHeight="1" x14ac:dyDescent="0.15">
      <c r="A5" s="905" t="s">
        <v>1067</v>
      </c>
      <c r="B5" s="905"/>
      <c r="C5" s="170" t="s">
        <v>8</v>
      </c>
      <c r="D5" s="171"/>
      <c r="E5" s="170" t="s">
        <v>1068</v>
      </c>
      <c r="F5" s="171"/>
      <c r="G5" s="633" t="s">
        <v>1069</v>
      </c>
      <c r="H5" s="178" t="s">
        <v>1070</v>
      </c>
      <c r="I5" s="635"/>
      <c r="J5" s="179" t="s">
        <v>1071</v>
      </c>
      <c r="K5" s="633" t="s">
        <v>1072</v>
      </c>
      <c r="L5" s="182"/>
      <c r="M5" s="136" t="e">
        <f ca="1">TRUNC([2]!dhtextevaluate(O5),2)</f>
        <v>#NAME?</v>
      </c>
    </row>
    <row r="6" spans="1:13" ht="19.5" customHeight="1" x14ac:dyDescent="0.15">
      <c r="A6" s="132">
        <f>내역!A7</f>
        <v>0</v>
      </c>
      <c r="B6" s="154">
        <f>내역!B7</f>
        <v>0</v>
      </c>
      <c r="C6" s="133"/>
      <c r="D6" s="657">
        <f>내역!D7</f>
        <v>0</v>
      </c>
      <c r="E6" s="133"/>
      <c r="F6" s="134">
        <f>내역!F7</f>
        <v>0</v>
      </c>
      <c r="G6" s="135">
        <f>내역!G7</f>
        <v>0</v>
      </c>
      <c r="H6" s="136">
        <v>0</v>
      </c>
      <c r="I6" s="138"/>
      <c r="J6" s="137">
        <f>내역!X7</f>
        <v>0</v>
      </c>
      <c r="K6" s="132"/>
      <c r="L6" s="183"/>
    </row>
    <row r="7" spans="1:13" s="699" customFormat="1" ht="19.5" customHeight="1" x14ac:dyDescent="0.15">
      <c r="A7" s="132">
        <f>내역!A8</f>
        <v>1</v>
      </c>
      <c r="B7" s="154">
        <f>내역!B8</f>
        <v>0</v>
      </c>
      <c r="C7" s="133"/>
      <c r="D7" s="657" t="str">
        <f>내역!D8</f>
        <v>가설</v>
      </c>
      <c r="E7" s="133"/>
      <c r="F7" s="134">
        <f>내역!F8</f>
        <v>0</v>
      </c>
      <c r="G7" s="135">
        <f>내역!G8</f>
        <v>0</v>
      </c>
      <c r="H7" s="136">
        <f>내역!H8</f>
        <v>0</v>
      </c>
      <c r="I7" s="138"/>
      <c r="J7" s="137">
        <f>내역!X8</f>
        <v>0</v>
      </c>
      <c r="K7" s="132"/>
      <c r="L7" s="183"/>
    </row>
    <row r="8" spans="1:13" s="699" customFormat="1" ht="19.5" customHeight="1" x14ac:dyDescent="0.15">
      <c r="A8" s="132">
        <f>내역!A9</f>
        <v>0</v>
      </c>
      <c r="B8" s="154">
        <f>내역!B9</f>
        <v>0</v>
      </c>
      <c r="C8" s="133"/>
      <c r="D8" s="657" t="str">
        <f>내역!D9</f>
        <v>먹매김</v>
      </c>
      <c r="E8" s="133"/>
      <c r="F8" s="134" t="str">
        <f>내역!F9</f>
        <v>구조부</v>
      </c>
      <c r="G8" s="135" t="str">
        <f>내역!G9</f>
        <v>㎡</v>
      </c>
      <c r="H8" s="136">
        <f>내역!H9</f>
        <v>175.66</v>
      </c>
      <c r="I8" s="138"/>
      <c r="J8" s="137" t="str">
        <f>내역!X9</f>
        <v>로비 (공사영역 23.5*14.95)/2</v>
      </c>
      <c r="K8" s="132"/>
      <c r="L8" s="183"/>
    </row>
    <row r="9" spans="1:13" s="699" customFormat="1" ht="19.5" customHeight="1" x14ac:dyDescent="0.15">
      <c r="A9" s="132">
        <f>내역!A10</f>
        <v>0</v>
      </c>
      <c r="B9" s="154">
        <f>내역!B10</f>
        <v>0</v>
      </c>
      <c r="C9" s="133"/>
      <c r="D9" s="657" t="str">
        <f>내역!D10</f>
        <v>이동식강관조립말비계</v>
      </c>
      <c r="E9" s="133"/>
      <c r="F9" s="134" t="str">
        <f>내역!F10</f>
        <v>3개월</v>
      </c>
      <c r="G9" s="135" t="str">
        <f>내역!G10</f>
        <v>대</v>
      </c>
      <c r="H9" s="136">
        <f>내역!H10</f>
        <v>1</v>
      </c>
      <c r="I9" s="138"/>
      <c r="J9" s="137">
        <f>내역!X10</f>
        <v>1</v>
      </c>
      <c r="K9" s="132"/>
      <c r="L9" s="183"/>
    </row>
    <row r="10" spans="1:13" s="699" customFormat="1" ht="19.5" customHeight="1" x14ac:dyDescent="0.15">
      <c r="A10" s="132">
        <f>내역!A11</f>
        <v>0</v>
      </c>
      <c r="B10" s="154">
        <f>내역!B11</f>
        <v>0</v>
      </c>
      <c r="C10" s="133"/>
      <c r="D10" s="657" t="str">
        <f>내역!D11</f>
        <v>현장정리정돈</v>
      </c>
      <c r="E10" s="133"/>
      <c r="F10" s="134" t="str">
        <f>내역!F11</f>
        <v>준공청소 포함</v>
      </c>
      <c r="G10" s="135" t="str">
        <f>내역!G11</f>
        <v>㎡</v>
      </c>
      <c r="H10" s="136">
        <f>내역!H11</f>
        <v>175.66</v>
      </c>
      <c r="I10" s="138"/>
      <c r="J10" s="137" t="str">
        <f>내역!X11</f>
        <v>로비 (공사영역 23.5*14.95)/2</v>
      </c>
      <c r="K10" s="132"/>
      <c r="L10" s="183"/>
    </row>
    <row r="11" spans="1:13" s="699" customFormat="1" ht="19.5" customHeight="1" x14ac:dyDescent="0.15">
      <c r="A11" s="132">
        <f>내역!A12</f>
        <v>0</v>
      </c>
      <c r="B11" s="154">
        <f>내역!B12</f>
        <v>0</v>
      </c>
      <c r="C11" s="133"/>
      <c r="D11" s="657" t="str">
        <f>내역!D12</f>
        <v>보양</v>
      </c>
      <c r="E11" s="133"/>
      <c r="F11" s="134" t="str">
        <f>내역!F12</f>
        <v>플라베니아,3*6(3T)</v>
      </c>
      <c r="G11" s="135" t="str">
        <f>내역!G12</f>
        <v>㎡</v>
      </c>
      <c r="H11" s="136">
        <f>내역!H12</f>
        <v>175.66</v>
      </c>
      <c r="I11" s="138"/>
      <c r="J11" s="137" t="str">
        <f>내역!X12</f>
        <v>로비 (공사영역 23.5*14.95)/2</v>
      </c>
      <c r="K11" s="132"/>
      <c r="L11" s="183"/>
    </row>
    <row r="12" spans="1:13" s="699" customFormat="1" ht="19.5" customHeight="1" x14ac:dyDescent="0.15">
      <c r="A12" s="132">
        <f>내역!A13</f>
        <v>0</v>
      </c>
      <c r="B12" s="154">
        <f>내역!B13</f>
        <v>0</v>
      </c>
      <c r="C12" s="133"/>
      <c r="D12" s="657">
        <f>내역!D13</f>
        <v>0</v>
      </c>
      <c r="E12" s="133"/>
      <c r="F12" s="134">
        <f>내역!F13</f>
        <v>0</v>
      </c>
      <c r="G12" s="135">
        <f>내역!G13</f>
        <v>0</v>
      </c>
      <c r="H12" s="136">
        <f>내역!H13</f>
        <v>0</v>
      </c>
      <c r="I12" s="138"/>
      <c r="J12" s="137">
        <f>내역!X13</f>
        <v>0</v>
      </c>
      <c r="K12" s="132"/>
      <c r="L12" s="183"/>
    </row>
    <row r="13" spans="1:13" s="699" customFormat="1" ht="19.5" customHeight="1" x14ac:dyDescent="0.15">
      <c r="A13" s="132">
        <f>내역!A14</f>
        <v>0</v>
      </c>
      <c r="B13" s="154">
        <f>내역!B14</f>
        <v>0</v>
      </c>
      <c r="C13" s="133"/>
      <c r="D13" s="657">
        <f>내역!D14</f>
        <v>0</v>
      </c>
      <c r="E13" s="133"/>
      <c r="F13" s="134">
        <f>내역!F14</f>
        <v>0</v>
      </c>
      <c r="G13" s="135">
        <f>내역!G14</f>
        <v>0</v>
      </c>
      <c r="H13" s="136">
        <f>내역!H14</f>
        <v>0</v>
      </c>
      <c r="I13" s="138"/>
      <c r="J13" s="137">
        <f>내역!X14</f>
        <v>0</v>
      </c>
      <c r="K13" s="132"/>
      <c r="L13" s="183"/>
    </row>
    <row r="14" spans="1:13" s="699" customFormat="1" ht="19.5" customHeight="1" x14ac:dyDescent="0.15">
      <c r="A14" s="132">
        <f>내역!A15</f>
        <v>0</v>
      </c>
      <c r="B14" s="154">
        <f>내역!B15</f>
        <v>0</v>
      </c>
      <c r="C14" s="133"/>
      <c r="D14" s="657">
        <f>내역!D15</f>
        <v>0</v>
      </c>
      <c r="E14" s="133"/>
      <c r="F14" s="134">
        <f>내역!F15</f>
        <v>0</v>
      </c>
      <c r="G14" s="135">
        <f>내역!G15</f>
        <v>0</v>
      </c>
      <c r="H14" s="136">
        <f>내역!H15</f>
        <v>0</v>
      </c>
      <c r="I14" s="138"/>
      <c r="J14" s="137">
        <f>내역!X15</f>
        <v>0</v>
      </c>
      <c r="K14" s="132"/>
      <c r="L14" s="183"/>
    </row>
    <row r="15" spans="1:13" s="699" customFormat="1" ht="19.5" customHeight="1" x14ac:dyDescent="0.15">
      <c r="A15" s="132">
        <f>내역!A16</f>
        <v>0</v>
      </c>
      <c r="B15" s="154">
        <f>내역!B16</f>
        <v>0</v>
      </c>
      <c r="C15" s="133"/>
      <c r="D15" s="657">
        <f>내역!D16</f>
        <v>0</v>
      </c>
      <c r="E15" s="133"/>
      <c r="F15" s="134">
        <f>내역!F16</f>
        <v>0</v>
      </c>
      <c r="G15" s="135">
        <f>내역!G16</f>
        <v>0</v>
      </c>
      <c r="H15" s="136">
        <f>내역!H16</f>
        <v>0</v>
      </c>
      <c r="I15" s="138"/>
      <c r="J15" s="137">
        <f>내역!X16</f>
        <v>0</v>
      </c>
      <c r="K15" s="132"/>
      <c r="L15" s="183"/>
    </row>
    <row r="16" spans="1:13" s="699" customFormat="1" ht="19.5" customHeight="1" x14ac:dyDescent="0.15">
      <c r="A16" s="132">
        <f>내역!A17</f>
        <v>0</v>
      </c>
      <c r="B16" s="154">
        <f>내역!B17</f>
        <v>0</v>
      </c>
      <c r="C16" s="133"/>
      <c r="D16" s="657">
        <f>내역!D17</f>
        <v>0</v>
      </c>
      <c r="E16" s="133"/>
      <c r="F16" s="134">
        <f>내역!F17</f>
        <v>0</v>
      </c>
      <c r="G16" s="135">
        <f>내역!G17</f>
        <v>0</v>
      </c>
      <c r="H16" s="136">
        <f>내역!H17</f>
        <v>0</v>
      </c>
      <c r="I16" s="138"/>
      <c r="J16" s="137">
        <f>내역!X17</f>
        <v>0</v>
      </c>
      <c r="K16" s="132"/>
      <c r="L16" s="183"/>
    </row>
    <row r="17" spans="1:12" s="699" customFormat="1" ht="19.5" customHeight="1" x14ac:dyDescent="0.15">
      <c r="A17" s="132">
        <f>내역!A18</f>
        <v>0</v>
      </c>
      <c r="B17" s="154">
        <f>내역!B18</f>
        <v>0</v>
      </c>
      <c r="C17" s="133"/>
      <c r="D17" s="657">
        <f>내역!D18</f>
        <v>0</v>
      </c>
      <c r="E17" s="133"/>
      <c r="F17" s="134">
        <f>내역!F18</f>
        <v>0</v>
      </c>
      <c r="G17" s="135">
        <f>내역!G18</f>
        <v>0</v>
      </c>
      <c r="H17" s="136">
        <f>내역!H18</f>
        <v>0</v>
      </c>
      <c r="I17" s="138"/>
      <c r="J17" s="137">
        <f>내역!X18</f>
        <v>0</v>
      </c>
      <c r="K17" s="132"/>
      <c r="L17" s="183"/>
    </row>
    <row r="18" spans="1:12" s="699" customFormat="1" ht="19.5" customHeight="1" x14ac:dyDescent="0.15">
      <c r="A18" s="132">
        <f>내역!A19</f>
        <v>0</v>
      </c>
      <c r="B18" s="154">
        <f>내역!B19</f>
        <v>0</v>
      </c>
      <c r="C18" s="133"/>
      <c r="D18" s="657">
        <f>내역!D19</f>
        <v>0</v>
      </c>
      <c r="E18" s="133"/>
      <c r="F18" s="134">
        <f>내역!F19</f>
        <v>0</v>
      </c>
      <c r="G18" s="135">
        <f>내역!G19</f>
        <v>0</v>
      </c>
      <c r="H18" s="136">
        <f>내역!H19</f>
        <v>0</v>
      </c>
      <c r="I18" s="138"/>
      <c r="J18" s="137">
        <f>내역!X19</f>
        <v>0</v>
      </c>
      <c r="K18" s="132"/>
      <c r="L18" s="183"/>
    </row>
    <row r="19" spans="1:12" s="699" customFormat="1" ht="19.5" customHeight="1" x14ac:dyDescent="0.15">
      <c r="A19" s="132">
        <f>내역!A20</f>
        <v>0</v>
      </c>
      <c r="B19" s="154">
        <f>내역!B20</f>
        <v>0</v>
      </c>
      <c r="C19" s="133"/>
      <c r="D19" s="657">
        <f>내역!D20</f>
        <v>0</v>
      </c>
      <c r="E19" s="133"/>
      <c r="F19" s="134">
        <f>내역!F20</f>
        <v>0</v>
      </c>
      <c r="G19" s="135">
        <f>내역!G20</f>
        <v>0</v>
      </c>
      <c r="H19" s="136">
        <f>내역!H20</f>
        <v>0</v>
      </c>
      <c r="I19" s="138"/>
      <c r="J19" s="137">
        <f>내역!X20</f>
        <v>0</v>
      </c>
      <c r="K19" s="132"/>
      <c r="L19" s="183"/>
    </row>
    <row r="20" spans="1:12" s="699" customFormat="1" ht="19.5" customHeight="1" x14ac:dyDescent="0.15">
      <c r="A20" s="132">
        <f>내역!A21</f>
        <v>0</v>
      </c>
      <c r="B20" s="154">
        <f>내역!B21</f>
        <v>0</v>
      </c>
      <c r="C20" s="133"/>
      <c r="D20" s="657">
        <f>내역!D21</f>
        <v>0</v>
      </c>
      <c r="E20" s="133"/>
      <c r="F20" s="134">
        <f>내역!F21</f>
        <v>0</v>
      </c>
      <c r="G20" s="135">
        <f>내역!G21</f>
        <v>0</v>
      </c>
      <c r="H20" s="136">
        <f>내역!H21</f>
        <v>0</v>
      </c>
      <c r="I20" s="138"/>
      <c r="J20" s="137">
        <f>내역!X21</f>
        <v>0</v>
      </c>
      <c r="K20" s="132"/>
      <c r="L20" s="183"/>
    </row>
    <row r="21" spans="1:12" s="699" customFormat="1" ht="19.5" customHeight="1" x14ac:dyDescent="0.15">
      <c r="A21" s="132">
        <f>내역!A22</f>
        <v>0</v>
      </c>
      <c r="B21" s="154">
        <f>내역!B22</f>
        <v>0</v>
      </c>
      <c r="C21" s="133"/>
      <c r="D21" s="657">
        <f>내역!D22</f>
        <v>0</v>
      </c>
      <c r="E21" s="133"/>
      <c r="F21" s="134">
        <f>내역!F22</f>
        <v>0</v>
      </c>
      <c r="G21" s="135">
        <f>내역!G22</f>
        <v>0</v>
      </c>
      <c r="H21" s="136">
        <f>내역!H22</f>
        <v>0</v>
      </c>
      <c r="I21" s="138"/>
      <c r="J21" s="137">
        <f>내역!X22</f>
        <v>0</v>
      </c>
      <c r="K21" s="132"/>
      <c r="L21" s="183"/>
    </row>
    <row r="22" spans="1:12" s="699" customFormat="1" ht="19.5" customHeight="1" x14ac:dyDescent="0.15">
      <c r="A22" s="132">
        <f>내역!A23</f>
        <v>0</v>
      </c>
      <c r="B22" s="154">
        <f>내역!B23</f>
        <v>0</v>
      </c>
      <c r="C22" s="133"/>
      <c r="D22" s="657">
        <f>내역!D23</f>
        <v>0</v>
      </c>
      <c r="E22" s="133"/>
      <c r="F22" s="134">
        <f>내역!F23</f>
        <v>0</v>
      </c>
      <c r="G22" s="135">
        <f>내역!G23</f>
        <v>0</v>
      </c>
      <c r="H22" s="136">
        <f>내역!H23</f>
        <v>0</v>
      </c>
      <c r="I22" s="138"/>
      <c r="J22" s="137">
        <f>내역!X23</f>
        <v>0</v>
      </c>
      <c r="K22" s="132"/>
      <c r="L22" s="183"/>
    </row>
    <row r="23" spans="1:12" s="699" customFormat="1" ht="19.5" customHeight="1" x14ac:dyDescent="0.15">
      <c r="A23" s="132"/>
      <c r="B23" s="154">
        <f>내역!B24</f>
        <v>0</v>
      </c>
      <c r="C23" s="133"/>
      <c r="D23" s="657">
        <f>내역!D24</f>
        <v>0</v>
      </c>
      <c r="E23" s="133"/>
      <c r="F23" s="134">
        <f>내역!F24</f>
        <v>0</v>
      </c>
      <c r="G23" s="135">
        <f>내역!G24</f>
        <v>0</v>
      </c>
      <c r="H23" s="136">
        <f>내역!H24</f>
        <v>0</v>
      </c>
      <c r="I23" s="138"/>
      <c r="J23" s="137">
        <f>내역!X24</f>
        <v>0</v>
      </c>
      <c r="K23" s="132"/>
      <c r="L23" s="183"/>
    </row>
    <row r="24" spans="1:12" s="699" customFormat="1" ht="19.5" customHeight="1" x14ac:dyDescent="0.15">
      <c r="A24" s="132"/>
      <c r="B24" s="154">
        <f>내역!B25</f>
        <v>0</v>
      </c>
      <c r="C24" s="133"/>
      <c r="D24" s="657">
        <f>내역!D25</f>
        <v>0</v>
      </c>
      <c r="E24" s="133"/>
      <c r="F24" s="134">
        <f>내역!F25</f>
        <v>0</v>
      </c>
      <c r="G24" s="135">
        <f>내역!G25</f>
        <v>0</v>
      </c>
      <c r="H24" s="136">
        <f>내역!H25</f>
        <v>0</v>
      </c>
      <c r="I24" s="138"/>
      <c r="J24" s="137">
        <f>내역!X25</f>
        <v>0</v>
      </c>
      <c r="K24" s="132"/>
      <c r="L24" s="183"/>
    </row>
    <row r="25" spans="1:12" s="699" customFormat="1" ht="19.5" customHeight="1" x14ac:dyDescent="0.15">
      <c r="A25" s="132"/>
      <c r="B25" s="154">
        <f>내역!B26</f>
        <v>0</v>
      </c>
      <c r="C25" s="133"/>
      <c r="D25" s="657">
        <f>내역!D26</f>
        <v>0</v>
      </c>
      <c r="E25" s="133"/>
      <c r="F25" s="134">
        <f>내역!F26</f>
        <v>0</v>
      </c>
      <c r="G25" s="135">
        <f>내역!G26</f>
        <v>0</v>
      </c>
      <c r="H25" s="136">
        <f>내역!H26</f>
        <v>0</v>
      </c>
      <c r="I25" s="138"/>
      <c r="J25" s="137">
        <f>내역!X26</f>
        <v>0</v>
      </c>
      <c r="K25" s="132"/>
      <c r="L25" s="183"/>
    </row>
    <row r="26" spans="1:12" s="699" customFormat="1" ht="19.5" customHeight="1" x14ac:dyDescent="0.15">
      <c r="A26" s="132"/>
      <c r="B26" s="154">
        <f>내역!B27</f>
        <v>0</v>
      </c>
      <c r="C26" s="133"/>
      <c r="D26" s="657">
        <f>내역!D27</f>
        <v>0</v>
      </c>
      <c r="E26" s="133"/>
      <c r="F26" s="134">
        <f>내역!F27</f>
        <v>0</v>
      </c>
      <c r="G26" s="135">
        <f>내역!G27</f>
        <v>0</v>
      </c>
      <c r="H26" s="136">
        <f>내역!H27</f>
        <v>0</v>
      </c>
      <c r="I26" s="138"/>
      <c r="J26" s="137">
        <f>내역!X27</f>
        <v>0</v>
      </c>
      <c r="K26" s="132"/>
      <c r="L26" s="183"/>
    </row>
    <row r="27" spans="1:12" s="699" customFormat="1" ht="19.5" customHeight="1" x14ac:dyDescent="0.15">
      <c r="A27" s="132">
        <f>내역!A28</f>
        <v>2</v>
      </c>
      <c r="B27" s="154">
        <f>내역!B28</f>
        <v>0</v>
      </c>
      <c r="C27" s="133"/>
      <c r="D27" s="657" t="str">
        <f>내역!D28</f>
        <v>철거</v>
      </c>
      <c r="E27" s="133"/>
      <c r="F27" s="134">
        <f>내역!F28</f>
        <v>0</v>
      </c>
      <c r="G27" s="135">
        <f>내역!G28</f>
        <v>0</v>
      </c>
      <c r="H27" s="136">
        <f>내역!H28</f>
        <v>0</v>
      </c>
      <c r="I27" s="138"/>
      <c r="J27" s="137">
        <f>내역!X28</f>
        <v>0</v>
      </c>
      <c r="K27" s="132"/>
      <c r="L27" s="183"/>
    </row>
    <row r="28" spans="1:12" s="699" customFormat="1" ht="19.5" customHeight="1" x14ac:dyDescent="0.15">
      <c r="A28" s="132">
        <f>내역!A29</f>
        <v>0</v>
      </c>
      <c r="B28" s="154" t="str">
        <f>내역!B29</f>
        <v>2-1</v>
      </c>
      <c r="C28" s="133"/>
      <c r="D28" s="657" t="str">
        <f>내역!D29</f>
        <v>[기존인포 부스철거]</v>
      </c>
      <c r="E28" s="133"/>
      <c r="F28" s="134" t="str">
        <f>내역!F29</f>
        <v>데스크 및 뒷벽</v>
      </c>
      <c r="G28" s="135">
        <f>내역!G29</f>
        <v>0</v>
      </c>
      <c r="H28" s="136">
        <f>내역!H29</f>
        <v>0</v>
      </c>
      <c r="I28" s="138"/>
      <c r="J28" s="137">
        <f>내역!X29</f>
        <v>0</v>
      </c>
      <c r="K28" s="132"/>
      <c r="L28" s="183"/>
    </row>
    <row r="29" spans="1:12" s="699" customFormat="1" ht="19.5" customHeight="1" x14ac:dyDescent="0.15">
      <c r="A29" s="132">
        <f>내역!A30</f>
        <v>0</v>
      </c>
      <c r="B29" s="154">
        <f>내역!B30</f>
        <v>0</v>
      </c>
      <c r="C29" s="133"/>
      <c r="D29" s="657" t="str">
        <f>내역!D30</f>
        <v>벽체 철거</v>
      </c>
      <c r="E29" s="133"/>
      <c r="F29" s="134" t="str">
        <f>내역!F30</f>
        <v>구조부 철거</v>
      </c>
      <c r="G29" s="135" t="str">
        <f>내역!G30</f>
        <v>㎡</v>
      </c>
      <c r="H29" s="136">
        <f>내역!H30</f>
        <v>15</v>
      </c>
      <c r="I29" s="138"/>
      <c r="J29" s="137" t="str">
        <f>내역!X30</f>
        <v>6*H2.5</v>
      </c>
      <c r="K29" s="132"/>
      <c r="L29" s="183"/>
    </row>
    <row r="30" spans="1:12" s="699" customFormat="1" ht="19.5" customHeight="1" x14ac:dyDescent="0.15">
      <c r="A30" s="132">
        <f>내역!A31</f>
        <v>0</v>
      </c>
      <c r="B30" s="154">
        <f>내역!B31</f>
        <v>0</v>
      </c>
      <c r="C30" s="133"/>
      <c r="D30" s="657" t="str">
        <f>내역!D31</f>
        <v>벽체 철거</v>
      </c>
      <c r="E30" s="133"/>
      <c r="F30" s="134" t="str">
        <f>내역!F31</f>
        <v>판재류 철거</v>
      </c>
      <c r="G30" s="135" t="str">
        <f>내역!G31</f>
        <v>㎡</v>
      </c>
      <c r="H30" s="136">
        <f>내역!H31</f>
        <v>30</v>
      </c>
      <c r="I30" s="138"/>
      <c r="J30" s="137" t="str">
        <f>내역!X31</f>
        <v>6*H2.5*2</v>
      </c>
      <c r="K30" s="132"/>
      <c r="L30" s="183"/>
    </row>
    <row r="31" spans="1:12" s="699" customFormat="1" ht="19.5" customHeight="1" x14ac:dyDescent="0.15">
      <c r="A31" s="132">
        <f>내역!A32</f>
        <v>0</v>
      </c>
      <c r="B31" s="154">
        <f>내역!B32</f>
        <v>0</v>
      </c>
      <c r="C31" s="133"/>
      <c r="D31" s="657" t="str">
        <f>내역!D32</f>
        <v>인포데스크 및 수납장철거</v>
      </c>
      <c r="E31" s="133"/>
      <c r="F31" s="134">
        <f>내역!F32</f>
        <v>0</v>
      </c>
      <c r="G31" s="135" t="str">
        <f>내역!G32</f>
        <v>SET</v>
      </c>
      <c r="H31" s="136">
        <f>내역!H32</f>
        <v>1</v>
      </c>
      <c r="I31" s="138"/>
      <c r="J31" s="137">
        <f>내역!X32</f>
        <v>1</v>
      </c>
      <c r="K31" s="132"/>
      <c r="L31" s="183"/>
    </row>
    <row r="32" spans="1:12" s="699" customFormat="1" ht="19.5" customHeight="1" x14ac:dyDescent="0.15">
      <c r="A32" s="132">
        <f>내역!A33</f>
        <v>0</v>
      </c>
      <c r="B32" s="154" t="str">
        <f>내역!B33</f>
        <v>2-2</v>
      </c>
      <c r="C32" s="133"/>
      <c r="D32" s="657" t="str">
        <f>내역!D33</f>
        <v>[로비 전면 벽체철거]</v>
      </c>
      <c r="E32" s="133"/>
      <c r="F32" s="134">
        <f>내역!F33</f>
        <v>0</v>
      </c>
      <c r="G32" s="135">
        <f>내역!G33</f>
        <v>0</v>
      </c>
      <c r="H32" s="136">
        <f>내역!H33</f>
        <v>0</v>
      </c>
      <c r="I32" s="138"/>
      <c r="J32" s="137">
        <f>내역!X33</f>
        <v>0</v>
      </c>
      <c r="K32" s="132"/>
      <c r="L32" s="183"/>
    </row>
    <row r="33" spans="1:12" s="699" customFormat="1" ht="19.5" customHeight="1" x14ac:dyDescent="0.15">
      <c r="A33" s="132">
        <f>내역!A34</f>
        <v>0</v>
      </c>
      <c r="B33" s="154">
        <f>내역!B34</f>
        <v>0</v>
      </c>
      <c r="C33" s="133"/>
      <c r="D33" s="657" t="str">
        <f>내역!D34</f>
        <v>벽체 철거</v>
      </c>
      <c r="E33" s="133"/>
      <c r="F33" s="134" t="str">
        <f>내역!F34</f>
        <v>구조부 철거</v>
      </c>
      <c r="G33" s="135" t="str">
        <f>내역!G34</f>
        <v>㎡</v>
      </c>
      <c r="H33" s="136">
        <f>내역!H34</f>
        <v>37.5</v>
      </c>
      <c r="I33" s="138"/>
      <c r="J33" s="137" t="str">
        <f>내역!X34</f>
        <v>12.5*H3</v>
      </c>
      <c r="K33" s="132"/>
      <c r="L33" s="183"/>
    </row>
    <row r="34" spans="1:12" s="699" customFormat="1" ht="19.5" customHeight="1" x14ac:dyDescent="0.15">
      <c r="A34" s="132">
        <f>내역!A35</f>
        <v>0</v>
      </c>
      <c r="B34" s="154">
        <f>내역!B35</f>
        <v>0</v>
      </c>
      <c r="C34" s="133"/>
      <c r="D34" s="657" t="str">
        <f>내역!D35</f>
        <v>벽체 철거</v>
      </c>
      <c r="E34" s="133"/>
      <c r="F34" s="134" t="str">
        <f>내역!F35</f>
        <v>판재류 철거</v>
      </c>
      <c r="G34" s="135" t="str">
        <f>내역!G35</f>
        <v>㎡</v>
      </c>
      <c r="H34" s="136">
        <f>내역!H35</f>
        <v>37.5</v>
      </c>
      <c r="I34" s="138"/>
      <c r="J34" s="137" t="str">
        <f>내역!X35</f>
        <v>12.5*H3</v>
      </c>
      <c r="K34" s="132"/>
      <c r="L34" s="183"/>
    </row>
    <row r="35" spans="1:12" s="699" customFormat="1" ht="19.5" customHeight="1" x14ac:dyDescent="0.15">
      <c r="A35" s="132">
        <f>내역!A36</f>
        <v>0</v>
      </c>
      <c r="B35" s="154" t="str">
        <f>내역!B36</f>
        <v>2-3</v>
      </c>
      <c r="C35" s="133"/>
      <c r="D35" s="657" t="str">
        <f>내역!D36</f>
        <v>[기타 집기류 철거]</v>
      </c>
      <c r="E35" s="133"/>
      <c r="F35" s="134" t="str">
        <f>내역!F36</f>
        <v>SHOP/LIBRARY 집기외</v>
      </c>
      <c r="G35" s="135">
        <f>내역!G36</f>
        <v>0</v>
      </c>
      <c r="H35" s="136">
        <f>내역!H36</f>
        <v>0</v>
      </c>
      <c r="I35" s="138"/>
      <c r="J35" s="137">
        <f>내역!X36</f>
        <v>0</v>
      </c>
      <c r="K35" s="132"/>
      <c r="L35" s="183"/>
    </row>
    <row r="36" spans="1:12" s="699" customFormat="1" ht="19.5" customHeight="1" x14ac:dyDescent="0.15">
      <c r="A36" s="132">
        <f>내역!A37</f>
        <v>0</v>
      </c>
      <c r="B36" s="154">
        <f>내역!B37</f>
        <v>0</v>
      </c>
      <c r="C36" s="133"/>
      <c r="D36" s="657" t="str">
        <f>내역!D37</f>
        <v>기존 집기류 철거</v>
      </c>
      <c r="E36" s="133"/>
      <c r="F36" s="134" t="str">
        <f>내역!F37</f>
        <v>SHOP/LIBRARY 집기외</v>
      </c>
      <c r="G36" s="135" t="str">
        <f>내역!G37</f>
        <v>식</v>
      </c>
      <c r="H36" s="136">
        <f>내역!H37</f>
        <v>1</v>
      </c>
      <c r="I36" s="138"/>
      <c r="J36" s="137">
        <f>내역!X37</f>
        <v>1</v>
      </c>
      <c r="K36" s="132"/>
      <c r="L36" s="183"/>
    </row>
    <row r="37" spans="1:12" s="699" customFormat="1" ht="19.5" customHeight="1" x14ac:dyDescent="0.15">
      <c r="A37" s="132">
        <f>내역!A38</f>
        <v>0</v>
      </c>
      <c r="B37" s="154">
        <f>내역!B38</f>
        <v>0</v>
      </c>
      <c r="C37" s="133"/>
      <c r="D37" s="657">
        <f>내역!D38</f>
        <v>0</v>
      </c>
      <c r="E37" s="133"/>
      <c r="F37" s="134">
        <f>내역!F38</f>
        <v>0</v>
      </c>
      <c r="G37" s="135">
        <f>내역!G38</f>
        <v>0</v>
      </c>
      <c r="H37" s="136">
        <f>내역!H38</f>
        <v>0</v>
      </c>
      <c r="I37" s="138"/>
      <c r="J37" s="137">
        <f>내역!X38</f>
        <v>0</v>
      </c>
      <c r="K37" s="132"/>
      <c r="L37" s="183"/>
    </row>
    <row r="38" spans="1:12" s="699" customFormat="1" ht="19.5" customHeight="1" x14ac:dyDescent="0.15">
      <c r="A38" s="132">
        <f>내역!A39</f>
        <v>0</v>
      </c>
      <c r="B38" s="154">
        <f>내역!B39</f>
        <v>0</v>
      </c>
      <c r="C38" s="133"/>
      <c r="D38" s="657">
        <f>내역!D39</f>
        <v>0</v>
      </c>
      <c r="E38" s="133"/>
      <c r="F38" s="134">
        <f>내역!F39</f>
        <v>0</v>
      </c>
      <c r="G38" s="135">
        <f>내역!G39</f>
        <v>0</v>
      </c>
      <c r="H38" s="136">
        <f>내역!H39</f>
        <v>0</v>
      </c>
      <c r="I38" s="138"/>
      <c r="J38" s="137">
        <f>내역!X39</f>
        <v>0</v>
      </c>
      <c r="K38" s="132"/>
      <c r="L38" s="183"/>
    </row>
    <row r="39" spans="1:12" s="699" customFormat="1" ht="19.5" customHeight="1" x14ac:dyDescent="0.15">
      <c r="A39" s="132">
        <f>내역!A40</f>
        <v>0</v>
      </c>
      <c r="B39" s="154">
        <f>내역!B40</f>
        <v>0</v>
      </c>
      <c r="C39" s="133"/>
      <c r="D39" s="657">
        <f>내역!D40</f>
        <v>0</v>
      </c>
      <c r="E39" s="133"/>
      <c r="F39" s="134">
        <f>내역!F40</f>
        <v>0</v>
      </c>
      <c r="G39" s="135">
        <f>내역!G40</f>
        <v>0</v>
      </c>
      <c r="H39" s="136">
        <f>내역!H40</f>
        <v>0</v>
      </c>
      <c r="I39" s="138"/>
      <c r="J39" s="137">
        <f>내역!X40</f>
        <v>0</v>
      </c>
      <c r="K39" s="132"/>
      <c r="L39" s="183"/>
    </row>
    <row r="40" spans="1:12" s="699" customFormat="1" ht="19.5" customHeight="1" x14ac:dyDescent="0.15">
      <c r="A40" s="132">
        <f>내역!A41</f>
        <v>0</v>
      </c>
      <c r="B40" s="154">
        <f>내역!B41</f>
        <v>0</v>
      </c>
      <c r="C40" s="133"/>
      <c r="D40" s="657">
        <f>내역!D41</f>
        <v>0</v>
      </c>
      <c r="E40" s="133"/>
      <c r="F40" s="134">
        <f>내역!F41</f>
        <v>0</v>
      </c>
      <c r="G40" s="135">
        <f>내역!G41</f>
        <v>0</v>
      </c>
      <c r="H40" s="136">
        <f>내역!H41</f>
        <v>0</v>
      </c>
      <c r="I40" s="138"/>
      <c r="J40" s="137">
        <f>내역!X41</f>
        <v>0</v>
      </c>
      <c r="K40" s="132"/>
      <c r="L40" s="183"/>
    </row>
    <row r="41" spans="1:12" s="699" customFormat="1" ht="19.5" customHeight="1" x14ac:dyDescent="0.15">
      <c r="A41" s="132">
        <f>내역!A42</f>
        <v>0</v>
      </c>
      <c r="B41" s="154">
        <f>내역!B42</f>
        <v>0</v>
      </c>
      <c r="C41" s="133"/>
      <c r="D41" s="657">
        <f>내역!D42</f>
        <v>0</v>
      </c>
      <c r="E41" s="133"/>
      <c r="F41" s="134">
        <f>내역!F42</f>
        <v>0</v>
      </c>
      <c r="G41" s="135">
        <f>내역!G42</f>
        <v>0</v>
      </c>
      <c r="H41" s="136">
        <f>내역!H42</f>
        <v>0</v>
      </c>
      <c r="I41" s="138"/>
      <c r="J41" s="137">
        <f>내역!X42</f>
        <v>0</v>
      </c>
      <c r="K41" s="132"/>
      <c r="L41" s="183"/>
    </row>
    <row r="42" spans="1:12" s="699" customFormat="1" ht="19.5" hidden="1" customHeight="1" x14ac:dyDescent="0.15">
      <c r="A42" s="132">
        <f>내역!A43</f>
        <v>0</v>
      </c>
      <c r="B42" s="154">
        <f>내역!B43</f>
        <v>0</v>
      </c>
      <c r="C42" s="133"/>
      <c r="D42" s="657">
        <f>내역!D43</f>
        <v>0</v>
      </c>
      <c r="E42" s="133"/>
      <c r="F42" s="134">
        <f>내역!F43</f>
        <v>0</v>
      </c>
      <c r="G42" s="135">
        <f>내역!G43</f>
        <v>0</v>
      </c>
      <c r="H42" s="136">
        <f>내역!H43</f>
        <v>0</v>
      </c>
      <c r="I42" s="138"/>
      <c r="J42" s="137">
        <f>내역!X43</f>
        <v>0</v>
      </c>
      <c r="K42" s="132"/>
      <c r="L42" s="183"/>
    </row>
    <row r="43" spans="1:12" s="699" customFormat="1" ht="19.5" customHeight="1" x14ac:dyDescent="0.15">
      <c r="A43" s="132">
        <f>내역!A44</f>
        <v>0</v>
      </c>
      <c r="B43" s="154">
        <f>내역!B44</f>
        <v>0</v>
      </c>
      <c r="C43" s="133"/>
      <c r="D43" s="657">
        <f>내역!D44</f>
        <v>0</v>
      </c>
      <c r="E43" s="133"/>
      <c r="F43" s="134">
        <f>내역!F44</f>
        <v>0</v>
      </c>
      <c r="G43" s="135">
        <f>내역!G44</f>
        <v>0</v>
      </c>
      <c r="H43" s="136">
        <f>내역!H44</f>
        <v>0</v>
      </c>
      <c r="I43" s="138"/>
      <c r="J43" s="137">
        <f>내역!X44</f>
        <v>0</v>
      </c>
      <c r="K43" s="132"/>
      <c r="L43" s="183"/>
    </row>
    <row r="44" spans="1:12" s="699" customFormat="1" ht="19.5" customHeight="1" x14ac:dyDescent="0.15">
      <c r="A44" s="132" t="str">
        <f>내역!A45</f>
        <v>※</v>
      </c>
      <c r="B44" s="154">
        <f>내역!B45</f>
        <v>0</v>
      </c>
      <c r="C44" s="133"/>
      <c r="D44" s="657" t="str">
        <f>내역!D45</f>
        <v>폐기물처리비</v>
      </c>
      <c r="E44" s="133"/>
      <c r="F44" s="134">
        <f>내역!F45</f>
        <v>0</v>
      </c>
      <c r="G44" s="135">
        <f>내역!G45</f>
        <v>0</v>
      </c>
      <c r="H44" s="136">
        <f>내역!H45</f>
        <v>0</v>
      </c>
      <c r="I44" s="138"/>
      <c r="J44" s="137">
        <f>내역!X45</f>
        <v>0</v>
      </c>
      <c r="K44" s="132"/>
      <c r="L44" s="183"/>
    </row>
    <row r="45" spans="1:12" s="699" customFormat="1" ht="27.75" customHeight="1" x14ac:dyDescent="0.15">
      <c r="A45" s="132">
        <f>내역!A46</f>
        <v>0</v>
      </c>
      <c r="B45" s="154">
        <f>내역!B46</f>
        <v>0</v>
      </c>
      <c r="C45" s="133"/>
      <c r="D45" s="657" t="str">
        <f>내역!D46</f>
        <v>폐자재 수집, 운반비</v>
      </c>
      <c r="E45" s="133"/>
      <c r="F45" s="134" t="str">
        <f>내역!F46</f>
        <v>30Km 이하</v>
      </c>
      <c r="G45" s="135" t="str">
        <f>내역!G46</f>
        <v>ton</v>
      </c>
      <c r="H45" s="136">
        <f>내역!H46</f>
        <v>4.99</v>
      </c>
      <c r="I45" s="138"/>
      <c r="J45" s="137" t="str">
        <f>내역!X46</f>
        <v>발생폐기물(공사영역(23.5*14.95)*0.0088)+철거폐기물(2.5TON*1대)-0.6</v>
      </c>
      <c r="K45" s="132"/>
      <c r="L45" s="183"/>
    </row>
    <row r="46" spans="1:12" s="699" customFormat="1" ht="27.75" customHeight="1" x14ac:dyDescent="0.15">
      <c r="A46" s="132">
        <f>내역!A47</f>
        <v>0</v>
      </c>
      <c r="B46" s="154">
        <f>내역!B47</f>
        <v>0</v>
      </c>
      <c r="C46" s="133"/>
      <c r="D46" s="657" t="str">
        <f>내역!D47</f>
        <v>폐자재 처리비</v>
      </c>
      <c r="E46" s="133"/>
      <c r="F46" s="134">
        <f>내역!F47</f>
        <v>0</v>
      </c>
      <c r="G46" s="135" t="str">
        <f>내역!G47</f>
        <v>ton</v>
      </c>
      <c r="H46" s="136">
        <f>내역!H47</f>
        <v>4.99</v>
      </c>
      <c r="I46" s="138"/>
      <c r="J46" s="137" t="str">
        <f>내역!X47</f>
        <v>발생폐기물(공사영역(23.5*14.95)*0.0088)+철거폐기물(2.5TON*1대)-0.6</v>
      </c>
      <c r="K46" s="132"/>
      <c r="L46" s="183"/>
    </row>
    <row r="47" spans="1:12" s="699" customFormat="1" ht="19.5" customHeight="1" x14ac:dyDescent="0.15">
      <c r="A47" s="132">
        <f>내역!A48</f>
        <v>0</v>
      </c>
      <c r="B47" s="154">
        <f>내역!B48</f>
        <v>0</v>
      </c>
      <c r="C47" s="133"/>
      <c r="D47" s="657">
        <f>내역!D48</f>
        <v>0</v>
      </c>
      <c r="E47" s="133"/>
      <c r="F47" s="134">
        <f>내역!F48</f>
        <v>0</v>
      </c>
      <c r="G47" s="135">
        <f>내역!G48</f>
        <v>0</v>
      </c>
      <c r="H47" s="136">
        <f>내역!H48</f>
        <v>0</v>
      </c>
      <c r="I47" s="138"/>
      <c r="J47" s="137">
        <f>내역!X48</f>
        <v>0</v>
      </c>
      <c r="K47" s="132"/>
      <c r="L47" s="183"/>
    </row>
    <row r="48" spans="1:12" s="699" customFormat="1" ht="19.5" customHeight="1" x14ac:dyDescent="0.15">
      <c r="A48" s="132">
        <f>내역!A49</f>
        <v>0</v>
      </c>
      <c r="B48" s="154">
        <f>내역!B49</f>
        <v>0</v>
      </c>
      <c r="C48" s="133"/>
      <c r="D48" s="657">
        <f>내역!D49</f>
        <v>0</v>
      </c>
      <c r="E48" s="133"/>
      <c r="F48" s="134">
        <f>내역!F49</f>
        <v>0</v>
      </c>
      <c r="G48" s="135">
        <f>내역!G49</f>
        <v>0</v>
      </c>
      <c r="H48" s="136">
        <f>내역!H49</f>
        <v>0</v>
      </c>
      <c r="I48" s="138"/>
      <c r="J48" s="137">
        <f>내역!X49</f>
        <v>0</v>
      </c>
      <c r="K48" s="132"/>
      <c r="L48" s="183"/>
    </row>
    <row r="49" spans="1:12" s="699" customFormat="1" ht="19.5" customHeight="1" x14ac:dyDescent="0.15">
      <c r="A49" s="132">
        <f>내역!A50</f>
        <v>3</v>
      </c>
      <c r="B49" s="154">
        <f>내역!B50</f>
        <v>0</v>
      </c>
      <c r="C49" s="133"/>
      <c r="D49" s="657" t="str">
        <f>내역!D50</f>
        <v>벽체</v>
      </c>
      <c r="E49" s="133"/>
      <c r="F49" s="134">
        <f>내역!F50</f>
        <v>0</v>
      </c>
      <c r="G49" s="135">
        <f>내역!G50</f>
        <v>0</v>
      </c>
      <c r="H49" s="136">
        <f>내역!H50</f>
        <v>0</v>
      </c>
      <c r="I49" s="138"/>
      <c r="J49" s="137">
        <f>내역!X50</f>
        <v>0</v>
      </c>
      <c r="K49" s="132"/>
      <c r="L49" s="183"/>
    </row>
    <row r="50" spans="1:12" s="699" customFormat="1" ht="19.5" customHeight="1" x14ac:dyDescent="0.15">
      <c r="A50" s="132">
        <f>내역!A51</f>
        <v>0</v>
      </c>
      <c r="B50" s="154" t="str">
        <f>내역!B51</f>
        <v>3-1</v>
      </c>
      <c r="C50" s="133"/>
      <c r="D50" s="657" t="str">
        <f>내역!D51</f>
        <v>[로비 전면 메인월]</v>
      </c>
      <c r="E50" s="133"/>
      <c r="F50" s="134" t="str">
        <f>내역!F51</f>
        <v>EX-201, 로비입면-B</v>
      </c>
      <c r="G50" s="135">
        <f>내역!G51</f>
        <v>0</v>
      </c>
      <c r="H50" s="136">
        <f>내역!H51</f>
        <v>0</v>
      </c>
      <c r="I50" s="138"/>
      <c r="J50" s="137">
        <f>내역!X51</f>
        <v>0</v>
      </c>
      <c r="K50" s="132"/>
      <c r="L50" s="183"/>
    </row>
    <row r="51" spans="1:12" s="699" customFormat="1" ht="19.5" customHeight="1" x14ac:dyDescent="0.15">
      <c r="A51" s="132">
        <f>내역!A52</f>
        <v>0</v>
      </c>
      <c r="B51" s="154">
        <f>내역!B52</f>
        <v>0</v>
      </c>
      <c r="C51" s="133"/>
      <c r="D51" s="657" t="str">
        <f>내역!D52</f>
        <v>각파이프구조틀</v>
      </c>
      <c r="E51" s="133"/>
      <c r="F51" s="134" t="str">
        <f>내역!F52</f>
        <v>30*30*1.4T(S),@450</v>
      </c>
      <c r="G51" s="135" t="str">
        <f>내역!G52</f>
        <v>㎡</v>
      </c>
      <c r="H51" s="136">
        <f>내역!H52</f>
        <v>56.25</v>
      </c>
      <c r="I51" s="138"/>
      <c r="J51" s="137" t="str">
        <f>내역!X52</f>
        <v>12.5*H3*1.5보강포함</v>
      </c>
      <c r="K51" s="132"/>
      <c r="L51" s="183"/>
    </row>
    <row r="52" spans="1:12" s="699" customFormat="1" ht="19.5" customHeight="1" x14ac:dyDescent="0.15">
      <c r="A52" s="132">
        <f>내역!A53</f>
        <v>0</v>
      </c>
      <c r="B52" s="154">
        <f>내역!B53</f>
        <v>0</v>
      </c>
      <c r="C52" s="133"/>
      <c r="D52" s="657" t="str">
        <f>내역!D53</f>
        <v>석고보드취부(벽)</v>
      </c>
      <c r="E52" s="133"/>
      <c r="F52" s="134" t="str">
        <f>내역!F53</f>
        <v>THK=9.5mm * 2PLY</v>
      </c>
      <c r="G52" s="135" t="str">
        <f>내역!G53</f>
        <v>㎡</v>
      </c>
      <c r="H52" s="136">
        <f>내역!H53</f>
        <v>37.5</v>
      </c>
      <c r="I52" s="138"/>
      <c r="J52" s="137" t="str">
        <f>내역!X53</f>
        <v>12.5*H3</v>
      </c>
      <c r="K52" s="132"/>
      <c r="L52" s="183"/>
    </row>
    <row r="53" spans="1:12" s="699" customFormat="1" ht="19.5" customHeight="1" x14ac:dyDescent="0.15">
      <c r="A53" s="132">
        <f>내역!A54</f>
        <v>0</v>
      </c>
      <c r="B53" s="154">
        <f>내역!B54</f>
        <v>0</v>
      </c>
      <c r="C53" s="133"/>
      <c r="D53" s="657" t="str">
        <f>내역!D54</f>
        <v>지정타일 붙이기</v>
      </c>
      <c r="E53" s="133"/>
      <c r="F53" s="134" t="str">
        <f>내역!F54</f>
        <v>THK=5mm, 벽,압착붙임기준</v>
      </c>
      <c r="G53" s="135" t="str">
        <f>내역!G54</f>
        <v>㎡</v>
      </c>
      <c r="H53" s="136">
        <f>내역!H54</f>
        <v>34.090000000000003</v>
      </c>
      <c r="I53" s="138"/>
      <c r="J53" s="137" t="str">
        <f>내역!X54</f>
        <v>12.5*H3-모니터(4.86*0.7)</v>
      </c>
      <c r="K53" s="132"/>
      <c r="L53" s="183"/>
    </row>
    <row r="54" spans="1:12" s="699" customFormat="1" ht="19.5" customHeight="1" x14ac:dyDescent="0.15">
      <c r="A54" s="132">
        <f>내역!A55</f>
        <v>0</v>
      </c>
      <c r="B54" s="154">
        <f>내역!B55</f>
        <v>0</v>
      </c>
      <c r="C54" s="133"/>
      <c r="D54" s="657" t="str">
        <f>내역!D55</f>
        <v>걸레받이</v>
      </c>
      <c r="E54" s="133"/>
      <c r="F54" s="134" t="str">
        <f>내역!F55</f>
        <v>H=100, 지정도장마감</v>
      </c>
      <c r="G54" s="135" t="str">
        <f>내역!G55</f>
        <v>m</v>
      </c>
      <c r="H54" s="136">
        <f>내역!H55</f>
        <v>12.5</v>
      </c>
      <c r="I54" s="138"/>
      <c r="J54" s="137">
        <f>내역!X55</f>
        <v>12.5</v>
      </c>
      <c r="K54" s="132"/>
      <c r="L54" s="183"/>
    </row>
    <row r="55" spans="1:12" s="699" customFormat="1" ht="19.5" customHeight="1" x14ac:dyDescent="0.15">
      <c r="A55" s="132">
        <f>내역!A56</f>
        <v>0</v>
      </c>
      <c r="B55" s="154" t="str">
        <f>내역!B56</f>
        <v>3-2</v>
      </c>
      <c r="C55" s="133"/>
      <c r="D55" s="657" t="str">
        <f>내역!D56</f>
        <v>[GALLERY 월]</v>
      </c>
      <c r="E55" s="133"/>
      <c r="F55" s="134" t="str">
        <f>내역!F56</f>
        <v>EX-202, GALLERY 입면-A,B</v>
      </c>
      <c r="G55" s="135">
        <f>내역!G56</f>
        <v>0</v>
      </c>
      <c r="H55" s="136">
        <f>내역!H56</f>
        <v>0</v>
      </c>
      <c r="I55" s="138"/>
      <c r="J55" s="137">
        <f>내역!X56</f>
        <v>0</v>
      </c>
      <c r="K55" s="132"/>
      <c r="L55" s="183"/>
    </row>
    <row r="56" spans="1:12" s="699" customFormat="1" ht="19.5" customHeight="1" x14ac:dyDescent="0.15">
      <c r="A56" s="132">
        <f>내역!A57</f>
        <v>0</v>
      </c>
      <c r="B56" s="154">
        <f>내역!B57</f>
        <v>0</v>
      </c>
      <c r="C56" s="133"/>
      <c r="D56" s="657" t="str">
        <f>내역!D57</f>
        <v>각재 벽체틀설치</v>
      </c>
      <c r="E56" s="133"/>
      <c r="F56" s="134" t="str">
        <f>내역!F57</f>
        <v>30x69, @450</v>
      </c>
      <c r="G56" s="135" t="str">
        <f>내역!G57</f>
        <v>㎡</v>
      </c>
      <c r="H56" s="136">
        <f>내역!H57</f>
        <v>36.6</v>
      </c>
      <c r="I56" s="138"/>
      <c r="J56" s="137" t="str">
        <f>내역!X57</f>
        <v>(3.7+5.45)*H4</v>
      </c>
      <c r="K56" s="132"/>
      <c r="L56" s="183"/>
    </row>
    <row r="57" spans="1:12" s="699" customFormat="1" ht="19.5" customHeight="1" x14ac:dyDescent="0.15">
      <c r="A57" s="132">
        <f>내역!A58</f>
        <v>0</v>
      </c>
      <c r="B57" s="154">
        <f>내역!B58</f>
        <v>0</v>
      </c>
      <c r="C57" s="133"/>
      <c r="D57" s="657" t="str">
        <f>내역!D58</f>
        <v>석고보드취부(벽)</v>
      </c>
      <c r="E57" s="133"/>
      <c r="F57" s="134" t="str">
        <f>내역!F58</f>
        <v>THK=9.5mm * 2PLY</v>
      </c>
      <c r="G57" s="135" t="str">
        <f>내역!G58</f>
        <v>㎡</v>
      </c>
      <c r="H57" s="136">
        <f>내역!H58</f>
        <v>36.6</v>
      </c>
      <c r="I57" s="138"/>
      <c r="J57" s="137" t="str">
        <f>내역!X58</f>
        <v>(3.7+5.45)*H4</v>
      </c>
      <c r="K57" s="132"/>
      <c r="L57" s="183"/>
    </row>
    <row r="58" spans="1:12" s="699" customFormat="1" ht="19.5" customHeight="1" x14ac:dyDescent="0.15">
      <c r="A58" s="132">
        <f>내역!A59</f>
        <v>0</v>
      </c>
      <c r="B58" s="154">
        <f>내역!B59</f>
        <v>0</v>
      </c>
      <c r="C58" s="133"/>
      <c r="D58" s="657" t="str">
        <f>내역!D59</f>
        <v>ALL PUTTY(벽체)</v>
      </c>
      <c r="E58" s="133"/>
      <c r="F58" s="134" t="str">
        <f>내역!F59</f>
        <v>석고보드면, 합판면</v>
      </c>
      <c r="G58" s="135" t="str">
        <f>내역!G59</f>
        <v>㎡</v>
      </c>
      <c r="H58" s="136">
        <f>내역!H59</f>
        <v>36.6</v>
      </c>
      <c r="I58" s="138"/>
      <c r="J58" s="137" t="str">
        <f>내역!X59</f>
        <v>(3.7+5.45)*H4</v>
      </c>
      <c r="K58" s="132"/>
      <c r="L58" s="183"/>
    </row>
    <row r="59" spans="1:12" s="699" customFormat="1" ht="19.5" customHeight="1" x14ac:dyDescent="0.15">
      <c r="A59" s="132">
        <f>내역!A60</f>
        <v>0</v>
      </c>
      <c r="B59" s="154">
        <f>내역!B60</f>
        <v>0</v>
      </c>
      <c r="C59" s="133"/>
      <c r="D59" s="657" t="str">
        <f>내역!D60</f>
        <v>수성페인트(로울러)</v>
      </c>
      <c r="E59" s="133"/>
      <c r="F59" s="134" t="str">
        <f>내역!F60</f>
        <v>내벽3회</v>
      </c>
      <c r="G59" s="135" t="str">
        <f>내역!G60</f>
        <v>㎡</v>
      </c>
      <c r="H59" s="136">
        <f>내역!H60</f>
        <v>36.6</v>
      </c>
      <c r="I59" s="138"/>
      <c r="J59" s="137" t="str">
        <f>내역!X60</f>
        <v>(3.7+5.45)*H4</v>
      </c>
      <c r="K59" s="132"/>
      <c r="L59" s="183"/>
    </row>
    <row r="60" spans="1:12" s="699" customFormat="1" ht="19.5" customHeight="1" x14ac:dyDescent="0.15">
      <c r="A60" s="132">
        <f>내역!A61</f>
        <v>0</v>
      </c>
      <c r="B60" s="154">
        <f>내역!B61</f>
        <v>0</v>
      </c>
      <c r="C60" s="133"/>
      <c r="D60" s="657" t="str">
        <f>내역!D61</f>
        <v>걸레받이</v>
      </c>
      <c r="E60" s="133"/>
      <c r="F60" s="134" t="str">
        <f>내역!F61</f>
        <v>H=100, 지정도장마감</v>
      </c>
      <c r="G60" s="135" t="str">
        <f>내역!G61</f>
        <v>m</v>
      </c>
      <c r="H60" s="136">
        <f>내역!H61</f>
        <v>9.15</v>
      </c>
      <c r="I60" s="138"/>
      <c r="J60" s="137" t="str">
        <f>내역!X61</f>
        <v>(3.7+5.45)</v>
      </c>
      <c r="K60" s="132"/>
      <c r="L60" s="183"/>
    </row>
    <row r="61" spans="1:12" s="699" customFormat="1" ht="19.5" customHeight="1" x14ac:dyDescent="0.15">
      <c r="A61" s="132">
        <f>내역!A62</f>
        <v>0</v>
      </c>
      <c r="B61" s="154">
        <f>내역!B62</f>
        <v>0</v>
      </c>
      <c r="C61" s="133"/>
      <c r="D61" s="657" t="str">
        <f>내역!D62</f>
        <v>액자걸이 FRMAE 매설</v>
      </c>
      <c r="E61" s="133"/>
      <c r="F61" s="134" t="str">
        <f>내역!F62</f>
        <v>지정사양, 설치포함</v>
      </c>
      <c r="G61" s="135" t="str">
        <f>내역!G62</f>
        <v>m</v>
      </c>
      <c r="H61" s="136">
        <f>내역!H62</f>
        <v>9.15</v>
      </c>
      <c r="I61" s="138"/>
      <c r="J61" s="137" t="str">
        <f>내역!X62</f>
        <v>(3.7+5.45)</v>
      </c>
      <c r="K61" s="132"/>
      <c r="L61" s="183"/>
    </row>
    <row r="62" spans="1:12" s="699" customFormat="1" ht="19.5" customHeight="1" x14ac:dyDescent="0.15">
      <c r="A62" s="132">
        <f>내역!A63</f>
        <v>0</v>
      </c>
      <c r="B62" s="154" t="str">
        <f>내역!B63</f>
        <v>3-3</v>
      </c>
      <c r="C62" s="133"/>
      <c r="D62" s="657" t="str">
        <f>내역!D63</f>
        <v>[SHOP/LIBRARY 월]</v>
      </c>
      <c r="E62" s="133"/>
      <c r="F62" s="134" t="str">
        <f>내역!F63</f>
        <v>EX-203, SHOP/LIBRARY 입면-A</v>
      </c>
      <c r="G62" s="135">
        <f>내역!G63</f>
        <v>0</v>
      </c>
      <c r="H62" s="136">
        <f>내역!H63</f>
        <v>0</v>
      </c>
      <c r="I62" s="138"/>
      <c r="J62" s="137">
        <f>내역!X63</f>
        <v>0</v>
      </c>
      <c r="K62" s="132"/>
      <c r="L62" s="183"/>
    </row>
    <row r="63" spans="1:12" s="699" customFormat="1" ht="19.5" customHeight="1" x14ac:dyDescent="0.15">
      <c r="A63" s="132">
        <f>내역!A64</f>
        <v>0</v>
      </c>
      <c r="B63" s="154">
        <f>내역!B64</f>
        <v>0</v>
      </c>
      <c r="C63" s="133"/>
      <c r="D63" s="657" t="str">
        <f>내역!D64</f>
        <v>각재 벽체틀설치</v>
      </c>
      <c r="E63" s="133"/>
      <c r="F63" s="134" t="str">
        <f>내역!F64</f>
        <v>30x30, @450</v>
      </c>
      <c r="G63" s="135" t="str">
        <f>내역!G64</f>
        <v>㎡</v>
      </c>
      <c r="H63" s="136">
        <f>내역!H64</f>
        <v>47.2</v>
      </c>
      <c r="I63" s="138"/>
      <c r="J63" s="137" t="str">
        <f>내역!X64</f>
        <v>(13.55)*H3+높은천장부(6.55*H1)</v>
      </c>
      <c r="K63" s="132"/>
      <c r="L63" s="183"/>
    </row>
    <row r="64" spans="1:12" s="699" customFormat="1" ht="19.5" customHeight="1" x14ac:dyDescent="0.15">
      <c r="A64" s="132">
        <f>내역!A65</f>
        <v>0</v>
      </c>
      <c r="B64" s="154">
        <f>내역!B65</f>
        <v>0</v>
      </c>
      <c r="C64" s="133"/>
      <c r="D64" s="657" t="str">
        <f>내역!D65</f>
        <v>석고보드취부(벽)</v>
      </c>
      <c r="E64" s="133"/>
      <c r="F64" s="134" t="str">
        <f>내역!F65</f>
        <v>THK=9.5mm * 2PLY</v>
      </c>
      <c r="G64" s="135" t="str">
        <f>내역!G65</f>
        <v>㎡</v>
      </c>
      <c r="H64" s="136">
        <f>내역!H65</f>
        <v>47.2</v>
      </c>
      <c r="I64" s="138"/>
      <c r="J64" s="137" t="str">
        <f>내역!X65</f>
        <v>(13.55)*H3+높은천장부(6.55*H1)</v>
      </c>
      <c r="K64" s="132"/>
      <c r="L64" s="183"/>
    </row>
    <row r="65" spans="1:12" s="699" customFormat="1" ht="19.5" customHeight="1" x14ac:dyDescent="0.15">
      <c r="A65" s="132">
        <f>내역!A66</f>
        <v>0</v>
      </c>
      <c r="B65" s="154">
        <f>내역!B66</f>
        <v>0</v>
      </c>
      <c r="C65" s="133"/>
      <c r="D65" s="657" t="str">
        <f>내역!D66</f>
        <v>ALL PUTTY(벽체)</v>
      </c>
      <c r="E65" s="133"/>
      <c r="F65" s="134" t="str">
        <f>내역!F66</f>
        <v>석고보드면, 합판면</v>
      </c>
      <c r="G65" s="135" t="str">
        <f>내역!G66</f>
        <v>㎡</v>
      </c>
      <c r="H65" s="136">
        <f>내역!H66</f>
        <v>47.2</v>
      </c>
      <c r="I65" s="138"/>
      <c r="J65" s="137" t="str">
        <f>내역!X66</f>
        <v>(13.55)*H3+높은천장부(6.55*H1)</v>
      </c>
      <c r="K65" s="132"/>
      <c r="L65" s="183"/>
    </row>
    <row r="66" spans="1:12" s="699" customFormat="1" ht="19.5" customHeight="1" x14ac:dyDescent="0.15">
      <c r="A66" s="132">
        <f>내역!A67</f>
        <v>0</v>
      </c>
      <c r="B66" s="154">
        <f>내역!B67</f>
        <v>0</v>
      </c>
      <c r="C66" s="133"/>
      <c r="D66" s="657" t="str">
        <f>내역!D67</f>
        <v>수성페인트(로울러)</v>
      </c>
      <c r="E66" s="133"/>
      <c r="F66" s="134" t="str">
        <f>내역!F67</f>
        <v>내벽3회</v>
      </c>
      <c r="G66" s="135" t="str">
        <f>내역!G67</f>
        <v>㎡</v>
      </c>
      <c r="H66" s="136">
        <f>내역!H67</f>
        <v>47.2</v>
      </c>
      <c r="I66" s="138"/>
      <c r="J66" s="137" t="str">
        <f>내역!X67</f>
        <v>(13.55)*H3+높은천장부(6.55*H1)</v>
      </c>
      <c r="K66" s="132"/>
      <c r="L66" s="183"/>
    </row>
    <row r="67" spans="1:12" s="699" customFormat="1" ht="19.5" customHeight="1" x14ac:dyDescent="0.15">
      <c r="A67" s="132">
        <f>내역!A68</f>
        <v>0</v>
      </c>
      <c r="B67" s="154">
        <f>내역!B68</f>
        <v>0</v>
      </c>
      <c r="C67" s="133"/>
      <c r="D67" s="657" t="str">
        <f>내역!D68</f>
        <v>걸레받이</v>
      </c>
      <c r="E67" s="133"/>
      <c r="F67" s="134" t="str">
        <f>내역!F68</f>
        <v>H=100, 지정도장마감</v>
      </c>
      <c r="G67" s="135" t="str">
        <f>내역!G68</f>
        <v>m</v>
      </c>
      <c r="H67" s="136">
        <f>내역!H68</f>
        <v>13.55</v>
      </c>
      <c r="I67" s="138"/>
      <c r="J67" s="137">
        <f>내역!X68</f>
        <v>13.55</v>
      </c>
      <c r="K67" s="132"/>
      <c r="L67" s="183"/>
    </row>
    <row r="68" spans="1:12" s="699" customFormat="1" ht="19.5" customHeight="1" x14ac:dyDescent="0.15">
      <c r="A68" s="132">
        <f>내역!A69</f>
        <v>0</v>
      </c>
      <c r="B68" s="154">
        <f>내역!B69</f>
        <v>0</v>
      </c>
      <c r="C68" s="133"/>
      <c r="D68" s="657">
        <f>내역!D69</f>
        <v>0</v>
      </c>
      <c r="E68" s="133"/>
      <c r="F68" s="134">
        <f>내역!F69</f>
        <v>0</v>
      </c>
      <c r="G68" s="135">
        <f>내역!G69</f>
        <v>0</v>
      </c>
      <c r="H68" s="136">
        <f>내역!H69</f>
        <v>0</v>
      </c>
      <c r="I68" s="138"/>
      <c r="J68" s="137">
        <f>내역!X69</f>
        <v>0</v>
      </c>
      <c r="K68" s="132"/>
      <c r="L68" s="183"/>
    </row>
    <row r="69" spans="1:12" s="699" customFormat="1" ht="19.5" customHeight="1" x14ac:dyDescent="0.15">
      <c r="A69" s="132">
        <f>내역!A70</f>
        <v>0</v>
      </c>
      <c r="B69" s="154">
        <f>내역!B70</f>
        <v>0</v>
      </c>
      <c r="C69" s="133"/>
      <c r="D69" s="657">
        <f>내역!D70</f>
        <v>0</v>
      </c>
      <c r="E69" s="133"/>
      <c r="F69" s="134">
        <f>내역!F70</f>
        <v>0</v>
      </c>
      <c r="G69" s="135">
        <f>내역!G70</f>
        <v>0</v>
      </c>
      <c r="H69" s="136">
        <f>내역!H70</f>
        <v>0</v>
      </c>
      <c r="I69" s="138"/>
      <c r="J69" s="137">
        <f>내역!X70</f>
        <v>0</v>
      </c>
      <c r="K69" s="132"/>
      <c r="L69" s="183"/>
    </row>
    <row r="70" spans="1:12" s="699" customFormat="1" ht="19.5" customHeight="1" x14ac:dyDescent="0.15">
      <c r="A70" s="132">
        <f>내역!A71</f>
        <v>0</v>
      </c>
      <c r="B70" s="154">
        <f>내역!B71</f>
        <v>0</v>
      </c>
      <c r="C70" s="133"/>
      <c r="D70" s="657">
        <f>내역!D71</f>
        <v>0</v>
      </c>
      <c r="E70" s="133"/>
      <c r="F70" s="134">
        <f>내역!F71</f>
        <v>0</v>
      </c>
      <c r="G70" s="135">
        <f>내역!G71</f>
        <v>0</v>
      </c>
      <c r="H70" s="136">
        <f>내역!H71</f>
        <v>0</v>
      </c>
      <c r="I70" s="138"/>
      <c r="J70" s="137">
        <f>내역!X71</f>
        <v>0</v>
      </c>
      <c r="K70" s="132"/>
      <c r="L70" s="183"/>
    </row>
    <row r="71" spans="1:12" s="699" customFormat="1" ht="19.5" customHeight="1" x14ac:dyDescent="0.15">
      <c r="A71" s="132">
        <f>내역!A72</f>
        <v>4</v>
      </c>
      <c r="B71" s="154">
        <f>내역!B72</f>
        <v>0</v>
      </c>
      <c r="C71" s="133"/>
      <c r="D71" s="657" t="str">
        <f>내역!D72</f>
        <v>집기</v>
      </c>
      <c r="E71" s="133"/>
      <c r="F71" s="134">
        <f>내역!F72</f>
        <v>0</v>
      </c>
      <c r="G71" s="135">
        <f>내역!G72</f>
        <v>0</v>
      </c>
      <c r="H71" s="136">
        <f>내역!H72</f>
        <v>0</v>
      </c>
      <c r="I71" s="138"/>
      <c r="J71" s="137">
        <f>내역!X72</f>
        <v>0</v>
      </c>
      <c r="K71" s="132"/>
      <c r="L71" s="183"/>
    </row>
    <row r="72" spans="1:12" s="699" customFormat="1" ht="19.5" customHeight="1" x14ac:dyDescent="0.15">
      <c r="A72" s="132">
        <f>내역!A73</f>
        <v>0</v>
      </c>
      <c r="B72" s="154" t="str">
        <f>내역!B73</f>
        <v>4-1</v>
      </c>
      <c r="C72" s="133"/>
      <c r="D72" s="657" t="str">
        <f>내역!D73</f>
        <v>[카운터 겸 진열장]</v>
      </c>
      <c r="E72" s="133"/>
      <c r="F72" s="134" t="str">
        <f>내역!F73</f>
        <v>FU-01, 5900*2500*1100</v>
      </c>
      <c r="G72" s="135">
        <f>내역!G73</f>
        <v>0</v>
      </c>
      <c r="H72" s="136">
        <f>내역!H73</f>
        <v>0</v>
      </c>
      <c r="I72" s="138"/>
      <c r="J72" s="137">
        <f>내역!X73</f>
        <v>0</v>
      </c>
      <c r="K72" s="132"/>
      <c r="L72" s="183"/>
    </row>
    <row r="73" spans="1:12" s="699" customFormat="1" ht="19.5" customHeight="1" x14ac:dyDescent="0.15">
      <c r="A73" s="132">
        <f>내역!A74</f>
        <v>0</v>
      </c>
      <c r="B73" s="154" t="str">
        <f>내역!B74</f>
        <v>-</v>
      </c>
      <c r="C73" s="133"/>
      <c r="D73" s="657" t="str">
        <f>내역!D74</f>
        <v>[카운터 데스크 외측벽]</v>
      </c>
      <c r="E73" s="133"/>
      <c r="F73" s="134">
        <f>내역!F74</f>
        <v>0</v>
      </c>
      <c r="G73" s="135">
        <f>내역!G74</f>
        <v>0</v>
      </c>
      <c r="H73" s="136">
        <f>내역!H74</f>
        <v>0</v>
      </c>
      <c r="I73" s="138"/>
      <c r="J73" s="137">
        <f>내역!X74</f>
        <v>0</v>
      </c>
      <c r="K73" s="132"/>
      <c r="L73" s="183"/>
    </row>
    <row r="74" spans="1:12" s="699" customFormat="1" ht="19.5" customHeight="1" x14ac:dyDescent="0.15">
      <c r="A74" s="132">
        <f>내역!A75</f>
        <v>0</v>
      </c>
      <c r="B74" s="154">
        <f>내역!B75</f>
        <v>0</v>
      </c>
      <c r="C74" s="133"/>
      <c r="D74" s="657" t="str">
        <f>내역!D75</f>
        <v>각파이프구조틀</v>
      </c>
      <c r="E74" s="133"/>
      <c r="F74" s="134" t="str">
        <f>내역!F75</f>
        <v>30*30*1.4T(S),@450</v>
      </c>
      <c r="G74" s="135" t="str">
        <f>내역!G75</f>
        <v>㎡</v>
      </c>
      <c r="H74" s="136">
        <f>내역!H75</f>
        <v>13.97</v>
      </c>
      <c r="I74" s="138"/>
      <c r="J74" s="137" t="str">
        <f>내역!X75</f>
        <v>(0.35+1.5+5.9+2.5+0.35)*H1.1+(0.45+2.04+0.6)*H0.75</v>
      </c>
      <c r="K74" s="132"/>
      <c r="L74" s="183"/>
    </row>
    <row r="75" spans="1:12" s="699" customFormat="1" ht="19.5" customHeight="1" x14ac:dyDescent="0.15">
      <c r="A75" s="132">
        <f>내역!A76</f>
        <v>0</v>
      </c>
      <c r="B75" s="154">
        <f>내역!B76</f>
        <v>0</v>
      </c>
      <c r="C75" s="133"/>
      <c r="D75" s="657" t="str">
        <f>내역!D76</f>
        <v>합판취부(벽체)</v>
      </c>
      <c r="E75" s="133"/>
      <c r="F75" s="134" t="str">
        <f>내역!F76</f>
        <v>THK=8.5mm * 1PLY, 바탕</v>
      </c>
      <c r="G75" s="135" t="str">
        <f>내역!G76</f>
        <v>㎡</v>
      </c>
      <c r="H75" s="136">
        <f>내역!H76</f>
        <v>13.97</v>
      </c>
      <c r="I75" s="138"/>
      <c r="J75" s="137" t="str">
        <f>내역!X76</f>
        <v>(0.35+1.5+5.9+2.5+0.35)*H1.1+(0.45+2.04+0.6)*H0.75</v>
      </c>
      <c r="K75" s="132"/>
      <c r="L75" s="183"/>
    </row>
    <row r="76" spans="1:12" s="699" customFormat="1" ht="19.5" customHeight="1" x14ac:dyDescent="0.15">
      <c r="A76" s="132">
        <f>내역!A77</f>
        <v>0</v>
      </c>
      <c r="B76" s="154">
        <f>내역!B77</f>
        <v>0</v>
      </c>
      <c r="C76" s="133"/>
      <c r="D76" s="657" t="str">
        <f>내역!D77</f>
        <v>섬유판가공취부(벽체)</v>
      </c>
      <c r="E76" s="133"/>
      <c r="F76" s="134" t="str">
        <f>내역!F77</f>
        <v>THK=9mm * 1PLY, 집기/하우징류</v>
      </c>
      <c r="G76" s="135" t="str">
        <f>내역!G77</f>
        <v>㎡</v>
      </c>
      <c r="H76" s="136">
        <f>내역!H77</f>
        <v>10.26</v>
      </c>
      <c r="I76" s="138"/>
      <c r="J76" s="137" t="str">
        <f>내역!X77</f>
        <v>(0.35+1.5+5.9+2.5+0.35+(0.45+2.04+0.6))*H0.75</v>
      </c>
      <c r="K76" s="132"/>
      <c r="L76" s="183"/>
    </row>
    <row r="77" spans="1:12" s="699" customFormat="1" ht="19.5" customHeight="1" x14ac:dyDescent="0.15">
      <c r="A77" s="132">
        <f>내역!A78</f>
        <v>0</v>
      </c>
      <c r="B77" s="154">
        <f>내역!B78</f>
        <v>0</v>
      </c>
      <c r="C77" s="133"/>
      <c r="D77" s="657" t="str">
        <f>내역!D78</f>
        <v>인조대리석 측벽시공</v>
      </c>
      <c r="E77" s="133"/>
      <c r="F77" s="134" t="str">
        <f>내역!F78</f>
        <v>THK=12mm, 하이막스, 화이트칩</v>
      </c>
      <c r="G77" s="135" t="str">
        <f>내역!G78</f>
        <v>㎡</v>
      </c>
      <c r="H77" s="136">
        <f>내역!H78</f>
        <v>9.26</v>
      </c>
      <c r="I77" s="138"/>
      <c r="J77" s="137" t="str">
        <f>내역!X78</f>
        <v>(0.35+1.5+5.9+2.5+0.35+(0.45+2.04+0.6))*H0.75-유리장(2*0.5)</v>
      </c>
      <c r="K77" s="132"/>
      <c r="L77" s="183"/>
    </row>
    <row r="78" spans="1:12" s="699" customFormat="1" ht="19.5" customHeight="1" x14ac:dyDescent="0.15">
      <c r="A78" s="132">
        <f>내역!A79</f>
        <v>0</v>
      </c>
      <c r="B78" s="154">
        <f>내역!B79</f>
        <v>0</v>
      </c>
      <c r="C78" s="133"/>
      <c r="D78" s="657" t="str">
        <f>내역!D79</f>
        <v>지정무늬목 루버연출</v>
      </c>
      <c r="E78" s="133"/>
      <c r="F78" s="134" t="str">
        <f>내역!F79</f>
        <v>W:300, 띠장 연출</v>
      </c>
      <c r="G78" s="135" t="str">
        <f>내역!G79</f>
        <v>m</v>
      </c>
      <c r="H78" s="136">
        <f>내역!H79</f>
        <v>10.6</v>
      </c>
      <c r="I78" s="138"/>
      <c r="J78" s="137" t="str">
        <f>내역!X79</f>
        <v>(0.35+1.5+5.9+2.5+0.35)</v>
      </c>
      <c r="K78" s="132"/>
      <c r="L78" s="183"/>
    </row>
    <row r="79" spans="1:12" s="699" customFormat="1" ht="19.5" customHeight="1" x14ac:dyDescent="0.15">
      <c r="A79" s="132">
        <f>내역!A80</f>
        <v>0</v>
      </c>
      <c r="B79" s="154" t="str">
        <f>내역!B80</f>
        <v>-</v>
      </c>
      <c r="C79" s="133"/>
      <c r="D79" s="657" t="str">
        <f>내역!D80</f>
        <v>[카운터 데스크 외측상판]</v>
      </c>
      <c r="E79" s="133"/>
      <c r="F79" s="134">
        <f>내역!F80</f>
        <v>0</v>
      </c>
      <c r="G79" s="135">
        <f>내역!G80</f>
        <v>0</v>
      </c>
      <c r="H79" s="136">
        <f>내역!H80</f>
        <v>0</v>
      </c>
      <c r="I79" s="138"/>
      <c r="J79" s="137">
        <f>내역!X80</f>
        <v>0</v>
      </c>
      <c r="K79" s="132"/>
      <c r="L79" s="183"/>
    </row>
    <row r="80" spans="1:12" s="699" customFormat="1" ht="19.5" customHeight="1" x14ac:dyDescent="0.15">
      <c r="A80" s="132">
        <f>내역!A81</f>
        <v>0</v>
      </c>
      <c r="B80" s="154">
        <f>내역!B81</f>
        <v>0</v>
      </c>
      <c r="C80" s="133"/>
      <c r="D80" s="657" t="str">
        <f>내역!D81</f>
        <v>합판취부(벽체)</v>
      </c>
      <c r="E80" s="133"/>
      <c r="F80" s="134" t="str">
        <f>내역!F81</f>
        <v>THK=8.5mm * 1PLY, 바탕</v>
      </c>
      <c r="G80" s="135" t="str">
        <f>내역!G81</f>
        <v>㎡</v>
      </c>
      <c r="H80" s="136">
        <f>내역!H81</f>
        <v>4.45</v>
      </c>
      <c r="I80" s="138"/>
      <c r="J80" s="137" t="str">
        <f>내역!X81</f>
        <v>(1.5+5.9+2.5)*W(0.05+0.35+0.05)</v>
      </c>
      <c r="K80" s="132"/>
      <c r="L80" s="183"/>
    </row>
    <row r="81" spans="1:12" s="699" customFormat="1" ht="19.5" customHeight="1" x14ac:dyDescent="0.15">
      <c r="A81" s="132">
        <f>내역!A82</f>
        <v>0</v>
      </c>
      <c r="B81" s="154">
        <f>내역!B82</f>
        <v>0</v>
      </c>
      <c r="C81" s="133"/>
      <c r="D81" s="657" t="str">
        <f>내역!D82</f>
        <v>섬유판가공취부(벽체)</v>
      </c>
      <c r="E81" s="133"/>
      <c r="F81" s="134" t="str">
        <f>내역!F82</f>
        <v>THK=9mm * 1PLY, 집기/하우징류</v>
      </c>
      <c r="G81" s="135" t="str">
        <f>내역!G82</f>
        <v>㎡</v>
      </c>
      <c r="H81" s="136">
        <f>내역!H82</f>
        <v>4.45</v>
      </c>
      <c r="I81" s="138"/>
      <c r="J81" s="137" t="str">
        <f>내역!X82</f>
        <v>(1.5+5.9+2.5)*W(0.05+0.35+0.05)</v>
      </c>
      <c r="K81" s="132"/>
      <c r="L81" s="183"/>
    </row>
    <row r="82" spans="1:12" s="699" customFormat="1" ht="19.5" customHeight="1" x14ac:dyDescent="0.15">
      <c r="A82" s="132">
        <f>내역!A83</f>
        <v>0</v>
      </c>
      <c r="B82" s="154">
        <f>내역!B83</f>
        <v>0</v>
      </c>
      <c r="C82" s="133"/>
      <c r="D82" s="657" t="str">
        <f>내역!D83</f>
        <v>인조대리석 상판시공</v>
      </c>
      <c r="E82" s="133"/>
      <c r="F82" s="134" t="str">
        <f>내역!F83</f>
        <v>THK=12mm, 하이막스, 화이트칩</v>
      </c>
      <c r="G82" s="135" t="str">
        <f>내역!G83</f>
        <v>㎡</v>
      </c>
      <c r="H82" s="136">
        <f>내역!H83</f>
        <v>4.45</v>
      </c>
      <c r="I82" s="138"/>
      <c r="J82" s="137" t="str">
        <f>내역!X83</f>
        <v>(1.5+5.9+2.5)*W(0.05+0.35+0.05)</v>
      </c>
      <c r="K82" s="132"/>
      <c r="L82" s="183"/>
    </row>
    <row r="83" spans="1:12" s="699" customFormat="1" ht="19.5" customHeight="1" x14ac:dyDescent="0.15">
      <c r="A83" s="132">
        <f>내역!A84</f>
        <v>0</v>
      </c>
      <c r="B83" s="154" t="str">
        <f>내역!B84</f>
        <v>-</v>
      </c>
      <c r="C83" s="133"/>
      <c r="D83" s="657" t="str">
        <f>내역!D84</f>
        <v>[카운터 매립 진열장]</v>
      </c>
      <c r="E83" s="133"/>
      <c r="F83" s="134" t="str">
        <f>내역!F84</f>
        <v>2000*350*550, 8T유리장</v>
      </c>
      <c r="G83" s="135">
        <f>내역!G84</f>
        <v>0</v>
      </c>
      <c r="H83" s="136">
        <f>내역!H84</f>
        <v>0</v>
      </c>
      <c r="I83" s="138"/>
      <c r="J83" s="137">
        <f>내역!X84</f>
        <v>0</v>
      </c>
      <c r="K83" s="132"/>
      <c r="L83" s="183"/>
    </row>
    <row r="84" spans="1:12" s="699" customFormat="1" ht="19.5" customHeight="1" x14ac:dyDescent="0.15">
      <c r="A84" s="132">
        <f>내역!A85</f>
        <v>0</v>
      </c>
      <c r="B84" s="154">
        <f>내역!B85</f>
        <v>0</v>
      </c>
      <c r="C84" s="133"/>
      <c r="D84" s="657" t="str">
        <f>내역!D85</f>
        <v>각파이프구조틀</v>
      </c>
      <c r="E84" s="133"/>
      <c r="F84" s="134" t="str">
        <f>내역!F85</f>
        <v>30*30*1.4T(S),@450</v>
      </c>
      <c r="G84" s="135" t="str">
        <f>내역!G85</f>
        <v>㎡</v>
      </c>
      <c r="H84" s="136">
        <f>내역!H85</f>
        <v>2.2400000000000002</v>
      </c>
      <c r="I84" s="138"/>
      <c r="J84" s="137" t="str">
        <f>내역!X85</f>
        <v>(2*0.55)*(2+0.55)*2*0.4</v>
      </c>
      <c r="K84" s="132"/>
      <c r="L84" s="183"/>
    </row>
    <row r="85" spans="1:12" s="699" customFormat="1" ht="19.5" customHeight="1" x14ac:dyDescent="0.15">
      <c r="A85" s="132">
        <f>내역!A86</f>
        <v>0</v>
      </c>
      <c r="B85" s="154">
        <f>내역!B86</f>
        <v>0</v>
      </c>
      <c r="C85" s="133"/>
      <c r="D85" s="657" t="str">
        <f>내역!D86</f>
        <v>섬유판가공취부(벽체)</v>
      </c>
      <c r="E85" s="133"/>
      <c r="F85" s="134" t="str">
        <f>내역!F86</f>
        <v>THK=9mm * 1PLY, 집기/하우징류</v>
      </c>
      <c r="G85" s="135" t="str">
        <f>내역!G86</f>
        <v>㎡</v>
      </c>
      <c r="H85" s="136">
        <f>내역!H86</f>
        <v>2.2400000000000002</v>
      </c>
      <c r="I85" s="138"/>
      <c r="J85" s="137" t="str">
        <f>내역!X86</f>
        <v>(2*0.55)*(2+0.55)*2*0.4</v>
      </c>
      <c r="K85" s="132"/>
      <c r="L85" s="183"/>
    </row>
    <row r="86" spans="1:12" s="699" customFormat="1" ht="19.5" customHeight="1" x14ac:dyDescent="0.15">
      <c r="A86" s="132">
        <f>내역!A87</f>
        <v>0</v>
      </c>
      <c r="B86" s="154">
        <f>내역!B87</f>
        <v>0</v>
      </c>
      <c r="C86" s="133"/>
      <c r="D86" s="657" t="str">
        <f>내역!D87</f>
        <v>ALL PUTTY(벽체)</v>
      </c>
      <c r="E86" s="133"/>
      <c r="F86" s="134" t="str">
        <f>내역!F87</f>
        <v>석고보드면, 합판면</v>
      </c>
      <c r="G86" s="135" t="str">
        <f>내역!G87</f>
        <v>㎡</v>
      </c>
      <c r="H86" s="136">
        <f>내역!H87</f>
        <v>2.2400000000000002</v>
      </c>
      <c r="I86" s="138"/>
      <c r="J86" s="137" t="str">
        <f>내역!X87</f>
        <v>(2*0.55)*(2+0.55)*2*0.4</v>
      </c>
      <c r="K86" s="132"/>
      <c r="L86" s="183"/>
    </row>
    <row r="87" spans="1:12" s="699" customFormat="1" ht="19.5" customHeight="1" x14ac:dyDescent="0.15">
      <c r="A87" s="132">
        <f>내역!A88</f>
        <v>0</v>
      </c>
      <c r="B87" s="154">
        <f>내역!B88</f>
        <v>0</v>
      </c>
      <c r="C87" s="133"/>
      <c r="D87" s="657" t="str">
        <f>내역!D88</f>
        <v>칼라락카</v>
      </c>
      <c r="E87" s="133"/>
      <c r="F87" s="134" t="str">
        <f>내역!F88</f>
        <v>목재면기준</v>
      </c>
      <c r="G87" s="135" t="str">
        <f>내역!G88</f>
        <v>㎡</v>
      </c>
      <c r="H87" s="136">
        <f>내역!H88</f>
        <v>2.2400000000000002</v>
      </c>
      <c r="I87" s="138"/>
      <c r="J87" s="137" t="str">
        <f>내역!X88</f>
        <v>(2*0.55)*(2+0.55)*2*0.4</v>
      </c>
      <c r="K87" s="132"/>
      <c r="L87" s="183"/>
    </row>
    <row r="88" spans="1:12" s="699" customFormat="1" ht="19.5" customHeight="1" x14ac:dyDescent="0.15">
      <c r="A88" s="132">
        <f>내역!A89</f>
        <v>0</v>
      </c>
      <c r="B88" s="154">
        <f>내역!B89</f>
        <v>0</v>
      </c>
      <c r="C88" s="133"/>
      <c r="D88" s="657" t="str">
        <f>내역!D89</f>
        <v>간접조명 후레임</v>
      </c>
      <c r="E88" s="133"/>
      <c r="F88" s="134" t="str">
        <f>내역!F89</f>
        <v>GAL'V,THK=1.6mm(S) W=160</v>
      </c>
      <c r="G88" s="135" t="str">
        <f>내역!G89</f>
        <v>m</v>
      </c>
      <c r="H88" s="136">
        <f>내역!H89</f>
        <v>2</v>
      </c>
      <c r="I88" s="138"/>
      <c r="J88" s="137">
        <f>내역!X89</f>
        <v>2</v>
      </c>
      <c r="K88" s="132"/>
      <c r="L88" s="183"/>
    </row>
    <row r="89" spans="1:12" s="699" customFormat="1" ht="19.5" customHeight="1" x14ac:dyDescent="0.15">
      <c r="A89" s="132">
        <f>내역!A90</f>
        <v>0</v>
      </c>
      <c r="B89" s="154">
        <f>내역!B90</f>
        <v>0</v>
      </c>
      <c r="C89" s="133"/>
      <c r="D89" s="657" t="str">
        <f>내역!D90</f>
        <v>LED LINE 조명 설치</v>
      </c>
      <c r="E89" s="133"/>
      <c r="F89" s="134" t="str">
        <f>내역!F90</f>
        <v>LED BAR 14.4W</v>
      </c>
      <c r="G89" s="135" t="str">
        <f>내역!G90</f>
        <v>m</v>
      </c>
      <c r="H89" s="136">
        <f>내역!H90</f>
        <v>2</v>
      </c>
      <c r="I89" s="138"/>
      <c r="J89" s="137">
        <f>내역!X90</f>
        <v>2</v>
      </c>
      <c r="K89" s="132"/>
      <c r="L89" s="183"/>
    </row>
    <row r="90" spans="1:12" s="699" customFormat="1" ht="19.5" customHeight="1" x14ac:dyDescent="0.15">
      <c r="A90" s="132">
        <f>내역!A91</f>
        <v>0</v>
      </c>
      <c r="B90" s="154">
        <f>내역!B91</f>
        <v>0</v>
      </c>
      <c r="C90" s="133"/>
      <c r="D90" s="657" t="str">
        <f>내역!D91</f>
        <v>강화유리</v>
      </c>
      <c r="E90" s="133"/>
      <c r="F90" s="134" t="str">
        <f>내역!F91</f>
        <v>THK=8mm</v>
      </c>
      <c r="G90" s="135" t="str">
        <f>내역!G91</f>
        <v>㎡</v>
      </c>
      <c r="H90" s="136">
        <f>내역!H91</f>
        <v>1.1000000000000001</v>
      </c>
      <c r="I90" s="138"/>
      <c r="J90" s="137" t="str">
        <f>내역!X91</f>
        <v>2*0.55</v>
      </c>
      <c r="K90" s="132"/>
      <c r="L90" s="183"/>
    </row>
    <row r="91" spans="1:12" s="699" customFormat="1" ht="19.5" customHeight="1" x14ac:dyDescent="0.15">
      <c r="A91" s="132">
        <f>내역!A92</f>
        <v>0</v>
      </c>
      <c r="B91" s="154" t="str">
        <f>내역!B92</f>
        <v>-</v>
      </c>
      <c r="C91" s="133"/>
      <c r="D91" s="657" t="str">
        <f>내역!D92</f>
        <v>[카운터 집기]</v>
      </c>
      <c r="E91" s="133"/>
      <c r="F91" s="134" t="str">
        <f>내역!F92</f>
        <v>데스크 및 수납장, 의자</v>
      </c>
      <c r="G91" s="135">
        <f>내역!G92</f>
        <v>0</v>
      </c>
      <c r="H91" s="136">
        <f>내역!H92</f>
        <v>0</v>
      </c>
      <c r="I91" s="138"/>
      <c r="J91" s="137">
        <f>내역!X92</f>
        <v>0</v>
      </c>
      <c r="K91" s="132"/>
      <c r="L91" s="183"/>
    </row>
    <row r="92" spans="1:12" s="699" customFormat="1" ht="19.5" customHeight="1" x14ac:dyDescent="0.15">
      <c r="A92" s="132">
        <f>내역!A93</f>
        <v>0</v>
      </c>
      <c r="B92" s="154">
        <f>내역!B93</f>
        <v>0</v>
      </c>
      <c r="C92" s="133"/>
      <c r="D92" s="657" t="str">
        <f>내역!D93</f>
        <v>카운터 데스크</v>
      </c>
      <c r="E92" s="133"/>
      <c r="F92" s="134" t="str">
        <f>내역!F93</f>
        <v>H:750, 내부 수납장포함</v>
      </c>
      <c r="G92" s="135" t="str">
        <f>내역!G93</f>
        <v>m</v>
      </c>
      <c r="H92" s="136">
        <f>내역!H93</f>
        <v>9</v>
      </c>
      <c r="I92" s="138"/>
      <c r="J92" s="137" t="str">
        <f>내역!X93</f>
        <v>1.1+4.3+2+1.6</v>
      </c>
      <c r="K92" s="132"/>
      <c r="L92" s="183"/>
    </row>
    <row r="93" spans="1:12" s="699" customFormat="1" ht="19.5" customHeight="1" x14ac:dyDescent="0.15">
      <c r="A93" s="132">
        <f>내역!A94</f>
        <v>0</v>
      </c>
      <c r="B93" s="154">
        <f>내역!B94</f>
        <v>0</v>
      </c>
      <c r="C93" s="133"/>
      <c r="D93" s="657" t="str">
        <f>내역!D94</f>
        <v>카운터 의자</v>
      </c>
      <c r="E93" s="133"/>
      <c r="F93" s="134" t="str">
        <f>내역!F94</f>
        <v>FU-10, 지정사양</v>
      </c>
      <c r="G93" s="135" t="str">
        <f>내역!G94</f>
        <v>EA</v>
      </c>
      <c r="H93" s="136">
        <f>내역!H94</f>
        <v>1</v>
      </c>
      <c r="I93" s="138"/>
      <c r="J93" s="137">
        <f>내역!X94</f>
        <v>1</v>
      </c>
      <c r="K93" s="132"/>
      <c r="L93" s="183"/>
    </row>
    <row r="94" spans="1:12" s="699" customFormat="1" ht="19.5" customHeight="1" x14ac:dyDescent="0.15">
      <c r="A94" s="132">
        <f>내역!A95</f>
        <v>0</v>
      </c>
      <c r="B94" s="154" t="str">
        <f>내역!B95</f>
        <v>4-2</v>
      </c>
      <c r="C94" s="133"/>
      <c r="D94" s="657" t="str">
        <f>내역!D95</f>
        <v>[벽부 진열장]</v>
      </c>
      <c r="E94" s="133"/>
      <c r="F94" s="134" t="str">
        <f>내역!F95</f>
        <v>FU-02, 11900*300*2400</v>
      </c>
      <c r="G94" s="135">
        <f>내역!G95</f>
        <v>0</v>
      </c>
      <c r="H94" s="136">
        <f>내역!H95</f>
        <v>0</v>
      </c>
      <c r="I94" s="138"/>
      <c r="J94" s="137">
        <f>내역!X95</f>
        <v>0</v>
      </c>
      <c r="K94" s="132"/>
      <c r="L94" s="183"/>
    </row>
    <row r="95" spans="1:12" s="699" customFormat="1" ht="19.5" customHeight="1" x14ac:dyDescent="0.15">
      <c r="A95" s="132">
        <f>내역!A96</f>
        <v>0</v>
      </c>
      <c r="B95" s="154" t="str">
        <f>내역!B96</f>
        <v>-</v>
      </c>
      <c r="C95" s="133"/>
      <c r="D95" s="657" t="str">
        <f>내역!D96</f>
        <v>[배면판]</v>
      </c>
      <c r="E95" s="133"/>
      <c r="F95" s="134">
        <f>내역!F96</f>
        <v>0</v>
      </c>
      <c r="G95" s="135">
        <f>내역!G96</f>
        <v>0</v>
      </c>
      <c r="H95" s="136">
        <f>내역!H96</f>
        <v>0</v>
      </c>
      <c r="I95" s="138"/>
      <c r="J95" s="137">
        <f>내역!X96</f>
        <v>0</v>
      </c>
      <c r="K95" s="132"/>
      <c r="L95" s="183"/>
    </row>
    <row r="96" spans="1:12" s="699" customFormat="1" ht="19.5" customHeight="1" x14ac:dyDescent="0.15">
      <c r="A96" s="132">
        <f>내역!A97</f>
        <v>0</v>
      </c>
      <c r="B96" s="154">
        <f>내역!B97</f>
        <v>0</v>
      </c>
      <c r="C96" s="133"/>
      <c r="D96" s="657" t="str">
        <f>내역!D97</f>
        <v>섬유판가공취부(벽체)</v>
      </c>
      <c r="E96" s="133"/>
      <c r="F96" s="134" t="str">
        <f>내역!F97</f>
        <v>THK=20mm * 1PLY, 집기/하우징류</v>
      </c>
      <c r="G96" s="135" t="str">
        <f>내역!G97</f>
        <v>㎡</v>
      </c>
      <c r="H96" s="136">
        <f>내역!H97</f>
        <v>28.56</v>
      </c>
      <c r="I96" s="138"/>
      <c r="J96" s="137" t="str">
        <f>내역!X97</f>
        <v>11.9*2.4</v>
      </c>
      <c r="K96" s="132"/>
      <c r="L96" s="183"/>
    </row>
    <row r="97" spans="1:12" s="699" customFormat="1" ht="19.5" customHeight="1" x14ac:dyDescent="0.15">
      <c r="A97" s="132">
        <f>내역!A98</f>
        <v>0</v>
      </c>
      <c r="B97" s="154">
        <f>내역!B98</f>
        <v>0</v>
      </c>
      <c r="C97" s="133"/>
      <c r="D97" s="657" t="str">
        <f>내역!D98</f>
        <v>인테리어 필름 붙임</v>
      </c>
      <c r="E97" s="133"/>
      <c r="F97" s="134" t="str">
        <f>내역!F98</f>
        <v>넓은면, W=400이상</v>
      </c>
      <c r="G97" s="135" t="str">
        <f>내역!G98</f>
        <v>㎡</v>
      </c>
      <c r="H97" s="136">
        <f>내역!H98</f>
        <v>28.56</v>
      </c>
      <c r="I97" s="138"/>
      <c r="J97" s="137" t="str">
        <f>내역!X98</f>
        <v>11.9*2.4</v>
      </c>
      <c r="K97" s="132"/>
      <c r="L97" s="183"/>
    </row>
    <row r="98" spans="1:12" s="699" customFormat="1" ht="19.5" customHeight="1" x14ac:dyDescent="0.15">
      <c r="A98" s="132">
        <f>내역!A99</f>
        <v>0</v>
      </c>
      <c r="B98" s="154" t="str">
        <f>내역!B99</f>
        <v>-</v>
      </c>
      <c r="C98" s="133"/>
      <c r="D98" s="657" t="str">
        <f>내역!D99</f>
        <v>[수직판]</v>
      </c>
      <c r="E98" s="133"/>
      <c r="F98" s="134">
        <f>내역!F99</f>
        <v>0</v>
      </c>
      <c r="G98" s="135">
        <f>내역!G99</f>
        <v>0</v>
      </c>
      <c r="H98" s="136">
        <f>내역!H99</f>
        <v>0</v>
      </c>
      <c r="I98" s="138"/>
      <c r="J98" s="137">
        <f>내역!X99</f>
        <v>0</v>
      </c>
      <c r="K98" s="132"/>
      <c r="L98" s="183"/>
    </row>
    <row r="99" spans="1:12" s="699" customFormat="1" ht="19.5" customHeight="1" x14ac:dyDescent="0.15">
      <c r="A99" s="132">
        <f>내역!A100</f>
        <v>0</v>
      </c>
      <c r="B99" s="154">
        <f>내역!B100</f>
        <v>0</v>
      </c>
      <c r="C99" s="133"/>
      <c r="D99" s="657" t="str">
        <f>내역!D100</f>
        <v>섬유판가공취부(벽체)</v>
      </c>
      <c r="E99" s="133"/>
      <c r="F99" s="134" t="str">
        <f>내역!F100</f>
        <v>THK=20mm * 1PLY, 집기/하우징류</v>
      </c>
      <c r="G99" s="135" t="str">
        <f>내역!G100</f>
        <v>㎡</v>
      </c>
      <c r="H99" s="136">
        <f>내역!H100</f>
        <v>19.440000000000001</v>
      </c>
      <c r="I99" s="138"/>
      <c r="J99" s="137" t="str">
        <f>내역!X100</f>
        <v>(0.3*2.4)*((5*5SET)+2)</v>
      </c>
      <c r="K99" s="132"/>
      <c r="L99" s="183"/>
    </row>
    <row r="100" spans="1:12" s="699" customFormat="1" ht="19.5" customHeight="1" x14ac:dyDescent="0.15">
      <c r="A100" s="132">
        <f>내역!A101</f>
        <v>0</v>
      </c>
      <c r="B100" s="154">
        <f>내역!B101</f>
        <v>0</v>
      </c>
      <c r="C100" s="133"/>
      <c r="D100" s="657" t="str">
        <f>내역!D101</f>
        <v>인테리어 필름 붙임</v>
      </c>
      <c r="E100" s="133"/>
      <c r="F100" s="134" t="str">
        <f>내역!F101</f>
        <v>몰딩,프레임, W=400미만</v>
      </c>
      <c r="G100" s="135" t="str">
        <f>내역!G101</f>
        <v>㎡</v>
      </c>
      <c r="H100" s="136">
        <f>내역!H101</f>
        <v>40.17</v>
      </c>
      <c r="I100" s="138"/>
      <c r="J100" s="137" t="str">
        <f>내역!X101</f>
        <v>((0.3+0.02+0.3)*2.4)*((5*5SET)+2)</v>
      </c>
      <c r="K100" s="132"/>
      <c r="L100" s="183"/>
    </row>
    <row r="101" spans="1:12" s="699" customFormat="1" ht="19.5" customHeight="1" x14ac:dyDescent="0.15">
      <c r="A101" s="132">
        <f>내역!A102</f>
        <v>0</v>
      </c>
      <c r="B101" s="154" t="str">
        <f>내역!B102</f>
        <v>-</v>
      </c>
      <c r="C101" s="133"/>
      <c r="D101" s="657" t="str">
        <f>내역!D102</f>
        <v>[수평판]</v>
      </c>
      <c r="E101" s="133"/>
      <c r="F101" s="134">
        <f>내역!F102</f>
        <v>0</v>
      </c>
      <c r="G101" s="135">
        <f>내역!G102</f>
        <v>0</v>
      </c>
      <c r="H101" s="136">
        <f>내역!H102</f>
        <v>0</v>
      </c>
      <c r="I101" s="138"/>
      <c r="J101" s="137">
        <f>내역!X102</f>
        <v>0</v>
      </c>
      <c r="K101" s="132"/>
      <c r="L101" s="183"/>
    </row>
    <row r="102" spans="1:12" s="699" customFormat="1" ht="19.5" customHeight="1" x14ac:dyDescent="0.15">
      <c r="A102" s="132">
        <f>내역!A103</f>
        <v>0</v>
      </c>
      <c r="B102" s="154">
        <f>내역!B103</f>
        <v>0</v>
      </c>
      <c r="C102" s="133"/>
      <c r="D102" s="657" t="str">
        <f>내역!D103</f>
        <v>섬유판가공취부(벽체)</v>
      </c>
      <c r="E102" s="133"/>
      <c r="F102" s="134" t="str">
        <f>내역!F103</f>
        <v>THK=20mm * 1PLY, 집기/하우징류</v>
      </c>
      <c r="G102" s="135" t="str">
        <f>내역!G103</f>
        <v>㎡</v>
      </c>
      <c r="H102" s="136">
        <f>내역!H103</f>
        <v>21.42</v>
      </c>
      <c r="I102" s="138"/>
      <c r="J102" s="137" t="str">
        <f>내역!X103</f>
        <v>(0.3*11.9)*6LINE</v>
      </c>
      <c r="K102" s="132"/>
      <c r="L102" s="183"/>
    </row>
    <row r="103" spans="1:12" s="699" customFormat="1" ht="19.5" customHeight="1" x14ac:dyDescent="0.15">
      <c r="A103" s="132">
        <f>내역!A104</f>
        <v>0</v>
      </c>
      <c r="B103" s="154">
        <f>내역!B104</f>
        <v>0</v>
      </c>
      <c r="C103" s="133"/>
      <c r="D103" s="657" t="str">
        <f>내역!D104</f>
        <v>인테리어 필름 붙임</v>
      </c>
      <c r="E103" s="133"/>
      <c r="F103" s="134" t="str">
        <f>내역!F104</f>
        <v>몰딩,프레임, W=400미만</v>
      </c>
      <c r="G103" s="135" t="str">
        <f>내역!G104</f>
        <v>㎡</v>
      </c>
      <c r="H103" s="136">
        <f>내역!H104</f>
        <v>44.26</v>
      </c>
      <c r="I103" s="138"/>
      <c r="J103" s="137" t="str">
        <f>내역!X104</f>
        <v>((0.3+0.02+0.3)*11.9)*6LINE</v>
      </c>
      <c r="K103" s="132"/>
      <c r="L103" s="183"/>
    </row>
    <row r="104" spans="1:12" s="699" customFormat="1" ht="19.5" customHeight="1" x14ac:dyDescent="0.15">
      <c r="A104" s="132">
        <f>내역!A105</f>
        <v>0</v>
      </c>
      <c r="B104" s="154" t="str">
        <f>내역!B105</f>
        <v>-</v>
      </c>
      <c r="C104" s="133"/>
      <c r="D104" s="657" t="str">
        <f>내역!D105</f>
        <v>[BASE]</v>
      </c>
      <c r="E104" s="133"/>
      <c r="F104" s="134">
        <f>내역!F105</f>
        <v>0</v>
      </c>
      <c r="G104" s="135">
        <f>내역!G105</f>
        <v>0</v>
      </c>
      <c r="H104" s="136">
        <f>내역!H105</f>
        <v>0</v>
      </c>
      <c r="I104" s="138"/>
      <c r="J104" s="137">
        <f>내역!X105</f>
        <v>0</v>
      </c>
      <c r="K104" s="132"/>
      <c r="L104" s="183"/>
    </row>
    <row r="105" spans="1:12" s="699" customFormat="1" ht="19.5" customHeight="1" x14ac:dyDescent="0.15">
      <c r="A105" s="132">
        <f>내역!A106</f>
        <v>0</v>
      </c>
      <c r="B105" s="154">
        <f>내역!B106</f>
        <v>0</v>
      </c>
      <c r="C105" s="133"/>
      <c r="D105" s="657" t="str">
        <f>내역!D106</f>
        <v>각파이프</v>
      </c>
      <c r="E105" s="133"/>
      <c r="F105" s="134" t="str">
        <f>내역!F106</f>
        <v>30*30*1.4T(S)</v>
      </c>
      <c r="G105" s="135" t="str">
        <f>내역!G106</f>
        <v>m</v>
      </c>
      <c r="H105" s="136">
        <f>내역!H106</f>
        <v>47.6</v>
      </c>
      <c r="I105" s="138"/>
      <c r="J105" s="137" t="str">
        <f>내역!X106</f>
        <v>11.9*4</v>
      </c>
      <c r="K105" s="132"/>
      <c r="L105" s="183"/>
    </row>
    <row r="106" spans="1:12" s="699" customFormat="1" ht="19.5" customHeight="1" x14ac:dyDescent="0.15">
      <c r="A106" s="132">
        <f>내역!A107</f>
        <v>0</v>
      </c>
      <c r="B106" s="154">
        <f>내역!B107</f>
        <v>0</v>
      </c>
      <c r="C106" s="133"/>
      <c r="D106" s="657" t="str">
        <f>내역!D107</f>
        <v>섬유판가공취부(벽체)</v>
      </c>
      <c r="E106" s="133"/>
      <c r="F106" s="134" t="str">
        <f>내역!F107</f>
        <v>THK=20mm * 1PLY, 집기/하우징류</v>
      </c>
      <c r="G106" s="135" t="str">
        <f>내역!G107</f>
        <v>㎡</v>
      </c>
      <c r="H106" s="136">
        <f>내역!H107</f>
        <v>0.95</v>
      </c>
      <c r="I106" s="138"/>
      <c r="J106" s="137" t="str">
        <f>내역!X107</f>
        <v>11.9*0.08</v>
      </c>
      <c r="K106" s="132"/>
      <c r="L106" s="183"/>
    </row>
    <row r="107" spans="1:12" s="699" customFormat="1" ht="19.5" customHeight="1" x14ac:dyDescent="0.15">
      <c r="A107" s="132">
        <f>내역!A108</f>
        <v>0</v>
      </c>
      <c r="B107" s="154">
        <f>내역!B108</f>
        <v>0</v>
      </c>
      <c r="C107" s="133"/>
      <c r="D107" s="657" t="str">
        <f>내역!D108</f>
        <v>인테리어 필름 붙임</v>
      </c>
      <c r="E107" s="133"/>
      <c r="F107" s="134" t="str">
        <f>내역!F108</f>
        <v>몰딩,프레임, W=400미만</v>
      </c>
      <c r="G107" s="135" t="str">
        <f>내역!G108</f>
        <v>㎡</v>
      </c>
      <c r="H107" s="136">
        <f>내역!H108</f>
        <v>0.95</v>
      </c>
      <c r="I107" s="138"/>
      <c r="J107" s="137" t="str">
        <f>내역!X108</f>
        <v>11.9*0.08</v>
      </c>
      <c r="K107" s="132"/>
      <c r="L107" s="183"/>
    </row>
    <row r="108" spans="1:12" s="699" customFormat="1" ht="19.5" customHeight="1" x14ac:dyDescent="0.15">
      <c r="A108" s="132">
        <f>내역!A109</f>
        <v>0</v>
      </c>
      <c r="B108" s="154" t="str">
        <f>내역!B109</f>
        <v>-</v>
      </c>
      <c r="C108" s="133"/>
      <c r="D108" s="657" t="str">
        <f>내역!D109</f>
        <v>[DOOR]</v>
      </c>
      <c r="E108" s="133"/>
      <c r="F108" s="134">
        <f>내역!F109</f>
        <v>0</v>
      </c>
      <c r="G108" s="135">
        <f>내역!G109</f>
        <v>0</v>
      </c>
      <c r="H108" s="136">
        <f>내역!H109</f>
        <v>0</v>
      </c>
      <c r="I108" s="138"/>
      <c r="J108" s="137">
        <f>내역!X109</f>
        <v>0</v>
      </c>
      <c r="K108" s="132"/>
      <c r="L108" s="183"/>
    </row>
    <row r="109" spans="1:12" s="699" customFormat="1" ht="29.25" customHeight="1" x14ac:dyDescent="0.15">
      <c r="A109" s="132">
        <f>내역!A110</f>
        <v>0</v>
      </c>
      <c r="B109" s="154">
        <f>내역!B110</f>
        <v>0</v>
      </c>
      <c r="C109" s="133"/>
      <c r="D109" s="657" t="str">
        <f>내역!D110</f>
        <v>섬유판가공취부(벽체)</v>
      </c>
      <c r="E109" s="133"/>
      <c r="F109" s="134" t="str">
        <f>내역!F110</f>
        <v>THK=20mm * 1PLY, 집기/하우징류</v>
      </c>
      <c r="G109" s="135" t="str">
        <f>내역!G110</f>
        <v>㎡</v>
      </c>
      <c r="H109" s="136">
        <f>내역!H110</f>
        <v>7.34</v>
      </c>
      <c r="I109" s="138"/>
      <c r="J109" s="137" t="str">
        <f>내역!X110</f>
        <v>((0.53*(0.38+0.45))+(0.85*0.45)+(0.6*(0.62+0.3)))*5SET+(0.59*(0.38+0.43))</v>
      </c>
      <c r="K109" s="132"/>
      <c r="L109" s="183"/>
    </row>
    <row r="110" spans="1:12" s="699" customFormat="1" ht="29.25" customHeight="1" x14ac:dyDescent="0.15">
      <c r="A110" s="132">
        <f>내역!A111</f>
        <v>0</v>
      </c>
      <c r="B110" s="154">
        <f>내역!B111</f>
        <v>0</v>
      </c>
      <c r="C110" s="133"/>
      <c r="D110" s="657" t="str">
        <f>내역!D111</f>
        <v>인테리어 필름 붙임</v>
      </c>
      <c r="E110" s="133"/>
      <c r="F110" s="134" t="str">
        <f>내역!F111</f>
        <v>몰딩,프레임, W=400미만</v>
      </c>
      <c r="G110" s="135" t="str">
        <f>내역!G111</f>
        <v>㎡</v>
      </c>
      <c r="H110" s="136">
        <f>내역!H111</f>
        <v>14.69</v>
      </c>
      <c r="I110" s="138"/>
      <c r="J110" s="137" t="str">
        <f>내역!X111</f>
        <v>(((0.53*(0.38+0.45))+(0.85*0.45)+(0.6*(0.62+0.3)))*5SET+(0.59*(0.38+0.43)))*2</v>
      </c>
      <c r="K110" s="132"/>
      <c r="L110" s="183"/>
    </row>
    <row r="111" spans="1:12" s="699" customFormat="1" ht="19.5" customHeight="1" x14ac:dyDescent="0.15">
      <c r="A111" s="132">
        <f>내역!A112</f>
        <v>0</v>
      </c>
      <c r="B111" s="154">
        <f>내역!B112</f>
        <v>0</v>
      </c>
      <c r="C111" s="133"/>
      <c r="D111" s="657" t="str">
        <f>내역!D112</f>
        <v>여닫이 DOOR설치</v>
      </c>
      <c r="E111" s="133"/>
      <c r="F111" s="134" t="str">
        <f>내역!F112</f>
        <v>경첩 및 기타철물 포함</v>
      </c>
      <c r="G111" s="135" t="str">
        <f>내역!G112</f>
        <v>개소</v>
      </c>
      <c r="H111" s="136">
        <f>내역!H112</f>
        <v>27</v>
      </c>
      <c r="I111" s="138"/>
      <c r="J111" s="137" t="str">
        <f>내역!X112</f>
        <v>5*5SET+2</v>
      </c>
      <c r="K111" s="132"/>
      <c r="L111" s="183"/>
    </row>
    <row r="112" spans="1:12" s="699" customFormat="1" ht="19.5" customHeight="1" x14ac:dyDescent="0.15">
      <c r="A112" s="132">
        <f>내역!A113</f>
        <v>0</v>
      </c>
      <c r="B112" s="154" t="str">
        <f>내역!B113</f>
        <v>4-3</v>
      </c>
      <c r="C112" s="133"/>
      <c r="D112" s="657" t="str">
        <f>내역!D113</f>
        <v>[OPEN 진열장]</v>
      </c>
      <c r="E112" s="133"/>
      <c r="F112" s="134" t="str">
        <f>내역!F113</f>
        <v>FU-03, 2895*400*2400</v>
      </c>
      <c r="G112" s="135">
        <f>내역!G113</f>
        <v>0</v>
      </c>
      <c r="H112" s="136">
        <f>내역!H113</f>
        <v>0</v>
      </c>
      <c r="I112" s="138"/>
      <c r="J112" s="137">
        <f>내역!X113</f>
        <v>0</v>
      </c>
      <c r="K112" s="132"/>
      <c r="L112" s="183"/>
    </row>
    <row r="113" spans="1:12" s="699" customFormat="1" ht="19.5" customHeight="1" x14ac:dyDescent="0.15">
      <c r="A113" s="132">
        <f>내역!A114</f>
        <v>0</v>
      </c>
      <c r="B113" s="154" t="str">
        <f>내역!B114</f>
        <v>-</v>
      </c>
      <c r="C113" s="133"/>
      <c r="D113" s="657" t="str">
        <f>내역!D114</f>
        <v>[수직판]</v>
      </c>
      <c r="E113" s="133"/>
      <c r="F113" s="134">
        <f>내역!F114</f>
        <v>0</v>
      </c>
      <c r="G113" s="135">
        <f>내역!G114</f>
        <v>0</v>
      </c>
      <c r="H113" s="136">
        <f>내역!H114</f>
        <v>0</v>
      </c>
      <c r="I113" s="138"/>
      <c r="J113" s="137">
        <f>내역!X114</f>
        <v>0</v>
      </c>
      <c r="K113" s="132"/>
      <c r="L113" s="183"/>
    </row>
    <row r="114" spans="1:12" s="699" customFormat="1" ht="19.5" customHeight="1" x14ac:dyDescent="0.15">
      <c r="A114" s="132">
        <f>내역!A115</f>
        <v>0</v>
      </c>
      <c r="B114" s="154">
        <f>내역!B115</f>
        <v>0</v>
      </c>
      <c r="C114" s="133"/>
      <c r="D114" s="657" t="str">
        <f>내역!D115</f>
        <v>섬유판가공취부(벽체)</v>
      </c>
      <c r="E114" s="133"/>
      <c r="F114" s="134" t="str">
        <f>내역!F115</f>
        <v>THK=20mm * 1PLY, 집기/하우징류</v>
      </c>
      <c r="G114" s="135" t="str">
        <f>내역!G115</f>
        <v>㎡</v>
      </c>
      <c r="H114" s="136">
        <f>내역!H115</f>
        <v>11.52</v>
      </c>
      <c r="I114" s="138"/>
      <c r="J114" s="137" t="str">
        <f>내역!X115</f>
        <v>(0.4*2.4)*(6*2SET)</v>
      </c>
      <c r="K114" s="132"/>
      <c r="L114" s="183"/>
    </row>
    <row r="115" spans="1:12" s="699" customFormat="1" ht="19.5" customHeight="1" x14ac:dyDescent="0.15">
      <c r="A115" s="132">
        <f>내역!A116</f>
        <v>0</v>
      </c>
      <c r="B115" s="154">
        <f>내역!B116</f>
        <v>0</v>
      </c>
      <c r="C115" s="133"/>
      <c r="D115" s="657" t="str">
        <f>내역!D116</f>
        <v>인테리어 필름 붙임</v>
      </c>
      <c r="E115" s="133"/>
      <c r="F115" s="134" t="str">
        <f>내역!F116</f>
        <v>몰딩,프레임, W=400미만</v>
      </c>
      <c r="G115" s="135" t="str">
        <f>내역!G116</f>
        <v>㎡</v>
      </c>
      <c r="H115" s="136">
        <f>내역!H116</f>
        <v>24.19</v>
      </c>
      <c r="I115" s="138"/>
      <c r="J115" s="137" t="str">
        <f>내역!X116</f>
        <v>((0.4+0.02)*2*2.4)*(6*2SET)</v>
      </c>
      <c r="K115" s="132"/>
      <c r="L115" s="183"/>
    </row>
    <row r="116" spans="1:12" s="699" customFormat="1" ht="19.5" customHeight="1" x14ac:dyDescent="0.15">
      <c r="A116" s="132">
        <f>내역!A117</f>
        <v>0</v>
      </c>
      <c r="B116" s="154" t="str">
        <f>내역!B117</f>
        <v>-</v>
      </c>
      <c r="C116" s="133"/>
      <c r="D116" s="657" t="str">
        <f>내역!D117</f>
        <v>[수평판]</v>
      </c>
      <c r="E116" s="133"/>
      <c r="F116" s="134">
        <f>내역!F117</f>
        <v>0</v>
      </c>
      <c r="G116" s="135">
        <f>내역!G117</f>
        <v>0</v>
      </c>
      <c r="H116" s="136">
        <f>내역!H117</f>
        <v>0</v>
      </c>
      <c r="I116" s="138"/>
      <c r="J116" s="137">
        <f>내역!X117</f>
        <v>0</v>
      </c>
      <c r="K116" s="132"/>
      <c r="L116" s="183"/>
    </row>
    <row r="117" spans="1:12" s="699" customFormat="1" ht="19.5" customHeight="1" x14ac:dyDescent="0.15">
      <c r="A117" s="132">
        <f>내역!A118</f>
        <v>0</v>
      </c>
      <c r="B117" s="154">
        <f>내역!B118</f>
        <v>0</v>
      </c>
      <c r="C117" s="133"/>
      <c r="D117" s="657" t="str">
        <f>내역!D118</f>
        <v>섬유판가공취부(벽체)</v>
      </c>
      <c r="E117" s="133"/>
      <c r="F117" s="134" t="str">
        <f>내역!F118</f>
        <v>THK=20mm * 1PLY, 집기/하우징류</v>
      </c>
      <c r="G117" s="135" t="str">
        <f>내역!G118</f>
        <v>㎡</v>
      </c>
      <c r="H117" s="136">
        <f>내역!H118</f>
        <v>6.96</v>
      </c>
      <c r="I117" s="138"/>
      <c r="J117" s="137" t="str">
        <f>내역!X118</f>
        <v>(0.4*2.9)*6LINE</v>
      </c>
      <c r="K117" s="132"/>
      <c r="L117" s="183"/>
    </row>
    <row r="118" spans="1:12" s="699" customFormat="1" ht="19.5" customHeight="1" x14ac:dyDescent="0.15">
      <c r="A118" s="132">
        <f>내역!A119</f>
        <v>0</v>
      </c>
      <c r="B118" s="154">
        <f>내역!B119</f>
        <v>0</v>
      </c>
      <c r="C118" s="133"/>
      <c r="D118" s="657" t="str">
        <f>내역!D119</f>
        <v>인테리어 필름 붙임</v>
      </c>
      <c r="E118" s="133"/>
      <c r="F118" s="134" t="str">
        <f>내역!F119</f>
        <v>몰딩,프레임, W=400미만</v>
      </c>
      <c r="G118" s="135" t="str">
        <f>내역!G119</f>
        <v>㎡</v>
      </c>
      <c r="H118" s="136">
        <f>내역!H119</f>
        <v>14.61</v>
      </c>
      <c r="I118" s="138"/>
      <c r="J118" s="137" t="str">
        <f>내역!X119</f>
        <v>((0.4+0.02)*2*2.9)*6LINE</v>
      </c>
      <c r="K118" s="132"/>
      <c r="L118" s="183"/>
    </row>
    <row r="119" spans="1:12" s="699" customFormat="1" ht="19.5" customHeight="1" x14ac:dyDescent="0.15">
      <c r="A119" s="132">
        <f>내역!A120</f>
        <v>0</v>
      </c>
      <c r="B119" s="154" t="str">
        <f>내역!B120</f>
        <v>-</v>
      </c>
      <c r="C119" s="133"/>
      <c r="D119" s="657" t="str">
        <f>내역!D120</f>
        <v>[BASE]</v>
      </c>
      <c r="E119" s="133"/>
      <c r="F119" s="134">
        <f>내역!F120</f>
        <v>0</v>
      </c>
      <c r="G119" s="135">
        <f>내역!G120</f>
        <v>0</v>
      </c>
      <c r="H119" s="136">
        <f>내역!H120</f>
        <v>0</v>
      </c>
      <c r="I119" s="138"/>
      <c r="J119" s="137">
        <f>내역!X120</f>
        <v>0</v>
      </c>
      <c r="K119" s="132"/>
      <c r="L119" s="183"/>
    </row>
    <row r="120" spans="1:12" s="699" customFormat="1" ht="19.5" customHeight="1" x14ac:dyDescent="0.15">
      <c r="A120" s="132">
        <f>내역!A121</f>
        <v>0</v>
      </c>
      <c r="B120" s="154">
        <f>내역!B121</f>
        <v>0</v>
      </c>
      <c r="C120" s="133"/>
      <c r="D120" s="657" t="str">
        <f>내역!D121</f>
        <v>각파이프</v>
      </c>
      <c r="E120" s="133"/>
      <c r="F120" s="134" t="str">
        <f>내역!F121</f>
        <v>30*30*1.4T(S)</v>
      </c>
      <c r="G120" s="135" t="str">
        <f>내역!G121</f>
        <v>m</v>
      </c>
      <c r="H120" s="136">
        <f>내역!H121</f>
        <v>11.6</v>
      </c>
      <c r="I120" s="138"/>
      <c r="J120" s="137" t="str">
        <f>내역!X121</f>
        <v>2.9*4</v>
      </c>
      <c r="K120" s="132"/>
      <c r="L120" s="183"/>
    </row>
    <row r="121" spans="1:12" s="699" customFormat="1" ht="19.5" customHeight="1" x14ac:dyDescent="0.15">
      <c r="A121" s="132">
        <f>내역!A122</f>
        <v>0</v>
      </c>
      <c r="B121" s="154">
        <f>내역!B122</f>
        <v>0</v>
      </c>
      <c r="C121" s="133"/>
      <c r="D121" s="657" t="str">
        <f>내역!D122</f>
        <v>섬유판가공취부(벽체)</v>
      </c>
      <c r="E121" s="133"/>
      <c r="F121" s="134" t="str">
        <f>내역!F122</f>
        <v>THK=20mm * 1PLY, 집기/하우징류</v>
      </c>
      <c r="G121" s="135" t="str">
        <f>내역!G122</f>
        <v>㎡</v>
      </c>
      <c r="H121" s="136">
        <f>내역!H122</f>
        <v>0.46</v>
      </c>
      <c r="I121" s="138"/>
      <c r="J121" s="137" t="str">
        <f>내역!X122</f>
        <v>2.9*0.08*2</v>
      </c>
      <c r="K121" s="132"/>
      <c r="L121" s="183"/>
    </row>
    <row r="122" spans="1:12" s="699" customFormat="1" ht="19.5" customHeight="1" x14ac:dyDescent="0.15">
      <c r="A122" s="132">
        <f>내역!A123</f>
        <v>0</v>
      </c>
      <c r="B122" s="154">
        <f>내역!B123</f>
        <v>0</v>
      </c>
      <c r="C122" s="133"/>
      <c r="D122" s="657" t="str">
        <f>내역!D123</f>
        <v>인테리어 필름 붙임</v>
      </c>
      <c r="E122" s="133"/>
      <c r="F122" s="134" t="str">
        <f>내역!F123</f>
        <v>몰딩,프레임, W=400미만</v>
      </c>
      <c r="G122" s="135" t="str">
        <f>내역!G123</f>
        <v>㎡</v>
      </c>
      <c r="H122" s="136">
        <f>내역!H123</f>
        <v>0.46</v>
      </c>
      <c r="I122" s="138"/>
      <c r="J122" s="137" t="str">
        <f>내역!X123</f>
        <v>2.9*0.08*2</v>
      </c>
      <c r="K122" s="132"/>
      <c r="L122" s="183"/>
    </row>
    <row r="123" spans="1:12" s="699" customFormat="1" ht="19.5" customHeight="1" x14ac:dyDescent="0.15">
      <c r="A123" s="132">
        <f>내역!A124</f>
        <v>0</v>
      </c>
      <c r="B123" s="154" t="str">
        <f>내역!B124</f>
        <v>-</v>
      </c>
      <c r="C123" s="133"/>
      <c r="D123" s="657" t="str">
        <f>내역!D124</f>
        <v>[DOOR]</v>
      </c>
      <c r="E123" s="133"/>
      <c r="F123" s="134">
        <f>내역!F124</f>
        <v>0</v>
      </c>
      <c r="G123" s="135">
        <f>내역!G124</f>
        <v>0</v>
      </c>
      <c r="H123" s="136">
        <f>내역!H124</f>
        <v>0</v>
      </c>
      <c r="I123" s="138"/>
      <c r="J123" s="137">
        <f>내역!X124</f>
        <v>0</v>
      </c>
      <c r="K123" s="132"/>
      <c r="L123" s="183"/>
    </row>
    <row r="124" spans="1:12" s="699" customFormat="1" ht="19.5" customHeight="1" x14ac:dyDescent="0.15">
      <c r="A124" s="132">
        <f>내역!A125</f>
        <v>0</v>
      </c>
      <c r="B124" s="154">
        <f>내역!B125</f>
        <v>0</v>
      </c>
      <c r="C124" s="133"/>
      <c r="D124" s="657" t="str">
        <f>내역!D125</f>
        <v>섬유판가공취부(벽체)</v>
      </c>
      <c r="E124" s="133"/>
      <c r="F124" s="134" t="str">
        <f>내역!F125</f>
        <v>THK=20mm * 1PLY, 집기/하우징류</v>
      </c>
      <c r="G124" s="135" t="str">
        <f>내역!G125</f>
        <v>㎡</v>
      </c>
      <c r="H124" s="136">
        <f>내역!H125</f>
        <v>4.0599999999999996</v>
      </c>
      <c r="I124" s="138"/>
      <c r="J124" s="137" t="str">
        <f>내역!X125</f>
        <v>((0.49*(0.41+0.59))+(0.38*0.89)+(0.25*0.75))*2양면*2SET</v>
      </c>
      <c r="K124" s="132"/>
      <c r="L124" s="183"/>
    </row>
    <row r="125" spans="1:12" s="699" customFormat="1" ht="19.5" customHeight="1" x14ac:dyDescent="0.15">
      <c r="A125" s="132">
        <f>내역!A126</f>
        <v>0</v>
      </c>
      <c r="B125" s="154">
        <f>내역!B126</f>
        <v>0</v>
      </c>
      <c r="C125" s="133"/>
      <c r="D125" s="657" t="str">
        <f>내역!D126</f>
        <v>인테리어 필름 붙임</v>
      </c>
      <c r="E125" s="133"/>
      <c r="F125" s="134" t="str">
        <f>내역!F126</f>
        <v>몰딩,프레임, W=400미만</v>
      </c>
      <c r="G125" s="135" t="str">
        <f>내역!G126</f>
        <v>㎡</v>
      </c>
      <c r="H125" s="136">
        <f>내역!H126</f>
        <v>8.1199999999999992</v>
      </c>
      <c r="I125" s="138"/>
      <c r="J125" s="137" t="str">
        <f>내역!X126</f>
        <v>(((0.49*(0.41+0.59))+(0.38*0.89)+(0.25*0.75))*2양면*2SET)*2</v>
      </c>
      <c r="K125" s="132"/>
      <c r="L125" s="183"/>
    </row>
    <row r="126" spans="1:12" s="699" customFormat="1" ht="19.5" customHeight="1" x14ac:dyDescent="0.15">
      <c r="A126" s="132">
        <f>내역!A127</f>
        <v>0</v>
      </c>
      <c r="B126" s="154">
        <f>내역!B127</f>
        <v>0</v>
      </c>
      <c r="C126" s="133"/>
      <c r="D126" s="657" t="str">
        <f>내역!D127</f>
        <v>여닫이 DOOR설치</v>
      </c>
      <c r="E126" s="133"/>
      <c r="F126" s="134" t="str">
        <f>내역!F127</f>
        <v>경첩 및 기타철물 포함</v>
      </c>
      <c r="G126" s="135" t="str">
        <f>내역!G127</f>
        <v>개소</v>
      </c>
      <c r="H126" s="136">
        <f>내역!H127</f>
        <v>16</v>
      </c>
      <c r="I126" s="138"/>
      <c r="J126" s="137" t="str">
        <f>내역!X127</f>
        <v>4*2양면*2SET</v>
      </c>
      <c r="K126" s="132"/>
      <c r="L126" s="183"/>
    </row>
    <row r="127" spans="1:12" s="699" customFormat="1" ht="19.5" customHeight="1" x14ac:dyDescent="0.15">
      <c r="A127" s="132">
        <f>내역!A128</f>
        <v>0</v>
      </c>
      <c r="B127" s="154" t="str">
        <f>내역!B128</f>
        <v>4-4</v>
      </c>
      <c r="C127" s="133"/>
      <c r="D127" s="657" t="str">
        <f>내역!D128</f>
        <v>[수납 테이블]</v>
      </c>
      <c r="E127" s="133"/>
      <c r="F127" s="134" t="str">
        <f>내역!F128</f>
        <v>FU-04, 5195*600*1050</v>
      </c>
      <c r="G127" s="135">
        <f>내역!G128</f>
        <v>0</v>
      </c>
      <c r="H127" s="136">
        <f>내역!H128</f>
        <v>0</v>
      </c>
      <c r="I127" s="138"/>
      <c r="J127" s="137">
        <f>내역!X128</f>
        <v>0</v>
      </c>
      <c r="K127" s="132"/>
      <c r="L127" s="183"/>
    </row>
    <row r="128" spans="1:12" s="699" customFormat="1" ht="19.5" customHeight="1" x14ac:dyDescent="0.15">
      <c r="A128" s="132">
        <f>내역!A129</f>
        <v>0</v>
      </c>
      <c r="B128" s="154">
        <f>내역!B129</f>
        <v>0</v>
      </c>
      <c r="C128" s="133"/>
      <c r="D128" s="657" t="str">
        <f>내역!D129</f>
        <v>수납 테이블(제작사양)</v>
      </c>
      <c r="E128" s="133"/>
      <c r="F128" s="134" t="str">
        <f>내역!F129</f>
        <v>5195*600*1050, 하이그로시도장마감</v>
      </c>
      <c r="G128" s="135" t="str">
        <f>내역!G129</f>
        <v>SET</v>
      </c>
      <c r="H128" s="136">
        <f>내역!H129</f>
        <v>1</v>
      </c>
      <c r="I128" s="138"/>
      <c r="J128" s="137" t="str">
        <f>내역!X129</f>
        <v>1SET</v>
      </c>
      <c r="K128" s="132"/>
      <c r="L128" s="183"/>
    </row>
    <row r="129" spans="1:12" s="699" customFormat="1" ht="19.5" customHeight="1" x14ac:dyDescent="0.15">
      <c r="A129" s="132">
        <f>내역!A130</f>
        <v>0</v>
      </c>
      <c r="B129" s="154" t="str">
        <f>내역!B130</f>
        <v>4-5</v>
      </c>
      <c r="C129" s="133"/>
      <c r="D129" s="657" t="str">
        <f>내역!D130</f>
        <v>[수납 테이블]</v>
      </c>
      <c r="E129" s="133"/>
      <c r="F129" s="134" t="str">
        <f>내역!F130</f>
        <v>FU-05, 2545*2300*1000</v>
      </c>
      <c r="G129" s="135">
        <f>내역!G130</f>
        <v>0</v>
      </c>
      <c r="H129" s="136">
        <f>내역!H130</f>
        <v>0</v>
      </c>
      <c r="I129" s="138"/>
      <c r="J129" s="137">
        <f>내역!X130</f>
        <v>0</v>
      </c>
      <c r="K129" s="132"/>
      <c r="L129" s="183"/>
    </row>
    <row r="130" spans="1:12" s="699" customFormat="1" ht="19.5" customHeight="1" x14ac:dyDescent="0.15">
      <c r="A130" s="132">
        <f>내역!A131</f>
        <v>0</v>
      </c>
      <c r="B130" s="154">
        <f>내역!B131</f>
        <v>0</v>
      </c>
      <c r="C130" s="133"/>
      <c r="D130" s="657" t="str">
        <f>내역!D131</f>
        <v>수납 테이블(제작사양)</v>
      </c>
      <c r="E130" s="133"/>
      <c r="F130" s="134" t="str">
        <f>내역!F131</f>
        <v>2545*600*1000, 하이그로시도장마감</v>
      </c>
      <c r="G130" s="135" t="str">
        <f>내역!G131</f>
        <v>SET</v>
      </c>
      <c r="H130" s="136">
        <f>내역!H131</f>
        <v>1</v>
      </c>
      <c r="I130" s="138"/>
      <c r="J130" s="137" t="str">
        <f>내역!X131</f>
        <v>1SET</v>
      </c>
      <c r="K130" s="132"/>
      <c r="L130" s="183"/>
    </row>
    <row r="131" spans="1:12" s="699" customFormat="1" ht="19.5" customHeight="1" x14ac:dyDescent="0.15">
      <c r="A131" s="132">
        <f>내역!A132</f>
        <v>0</v>
      </c>
      <c r="B131" s="154">
        <f>내역!B132</f>
        <v>0</v>
      </c>
      <c r="C131" s="133"/>
      <c r="D131" s="657" t="str">
        <f>내역!D132</f>
        <v>수납 테이블(제작사양)</v>
      </c>
      <c r="E131" s="133"/>
      <c r="F131" s="134" t="str">
        <f>내역!F132</f>
        <v>1700*600*1000, 하이그로시도장마감</v>
      </c>
      <c r="G131" s="135" t="str">
        <f>내역!G132</f>
        <v>SET</v>
      </c>
      <c r="H131" s="136">
        <f>내역!H132</f>
        <v>1</v>
      </c>
      <c r="I131" s="138"/>
      <c r="J131" s="137" t="str">
        <f>내역!X132</f>
        <v>1SET</v>
      </c>
      <c r="K131" s="132"/>
      <c r="L131" s="183"/>
    </row>
    <row r="132" spans="1:12" s="699" customFormat="1" ht="19.5" customHeight="1" x14ac:dyDescent="0.15">
      <c r="A132" s="132">
        <f>내역!A133</f>
        <v>0</v>
      </c>
      <c r="B132" s="154" t="str">
        <f>내역!B133</f>
        <v>4-6</v>
      </c>
      <c r="C132" s="133"/>
      <c r="D132" s="657" t="str">
        <f>내역!D133</f>
        <v>[쇼파]</v>
      </c>
      <c r="E132" s="133"/>
      <c r="F132" s="134" t="str">
        <f>내역!F133</f>
        <v>FU-06, 1800*700*808*6SET</v>
      </c>
      <c r="G132" s="135">
        <f>내역!G133</f>
        <v>0</v>
      </c>
      <c r="H132" s="136">
        <f>내역!H133</f>
        <v>0</v>
      </c>
      <c r="I132" s="138"/>
      <c r="J132" s="137">
        <f>내역!X133</f>
        <v>0</v>
      </c>
      <c r="K132" s="132"/>
      <c r="L132" s="183"/>
    </row>
    <row r="133" spans="1:12" s="699" customFormat="1" ht="19.5" customHeight="1" x14ac:dyDescent="0.15">
      <c r="A133" s="132">
        <f>내역!A134</f>
        <v>0</v>
      </c>
      <c r="B133" s="154">
        <f>내역!B134</f>
        <v>0</v>
      </c>
      <c r="C133" s="133"/>
      <c r="D133" s="657" t="str">
        <f>내역!D134</f>
        <v>지정 쇼파</v>
      </c>
      <c r="E133" s="133"/>
      <c r="F133" s="134" t="str">
        <f>내역!F134</f>
        <v>1800*700*808, 지정사양</v>
      </c>
      <c r="G133" s="135" t="str">
        <f>내역!G134</f>
        <v>SET</v>
      </c>
      <c r="H133" s="136">
        <f>내역!H134</f>
        <v>6</v>
      </c>
      <c r="I133" s="138"/>
      <c r="J133" s="137" t="str">
        <f>내역!X134</f>
        <v>6SET</v>
      </c>
      <c r="K133" s="132"/>
      <c r="L133" s="183"/>
    </row>
    <row r="134" spans="1:12" s="699" customFormat="1" ht="19.5" customHeight="1" x14ac:dyDescent="0.15">
      <c r="A134" s="132">
        <f>내역!A135</f>
        <v>0</v>
      </c>
      <c r="B134" s="154" t="str">
        <f>내역!B135</f>
        <v>4-7</v>
      </c>
      <c r="C134" s="133"/>
      <c r="D134" s="657" t="str">
        <f>내역!D135</f>
        <v>[테이블]</v>
      </c>
      <c r="E134" s="133"/>
      <c r="F134" s="134" t="str">
        <f>내역!F135</f>
        <v>FU-07, 1500*700*700*2SET</v>
      </c>
      <c r="G134" s="135">
        <f>내역!G135</f>
        <v>0</v>
      </c>
      <c r="H134" s="136">
        <f>내역!H135</f>
        <v>0</v>
      </c>
      <c r="I134" s="138"/>
      <c r="J134" s="137">
        <f>내역!X135</f>
        <v>0</v>
      </c>
      <c r="K134" s="132"/>
      <c r="L134" s="183"/>
    </row>
    <row r="135" spans="1:12" s="699" customFormat="1" ht="19.5" customHeight="1" x14ac:dyDescent="0.15">
      <c r="A135" s="132">
        <f>내역!A136</f>
        <v>0</v>
      </c>
      <c r="B135" s="154">
        <f>내역!B136</f>
        <v>0</v>
      </c>
      <c r="C135" s="133"/>
      <c r="D135" s="657" t="str">
        <f>내역!D136</f>
        <v>이동식 테이블(제작사양)</v>
      </c>
      <c r="E135" s="133"/>
      <c r="F135" s="134" t="str">
        <f>내역!F136</f>
        <v>1500*700*700, 하이그로시도장마감</v>
      </c>
      <c r="G135" s="135" t="str">
        <f>내역!G136</f>
        <v>SET</v>
      </c>
      <c r="H135" s="136">
        <f>내역!H136</f>
        <v>2</v>
      </c>
      <c r="I135" s="138"/>
      <c r="J135" s="137" t="str">
        <f>내역!X136</f>
        <v>2SET</v>
      </c>
      <c r="K135" s="132"/>
      <c r="L135" s="183"/>
    </row>
    <row r="136" spans="1:12" s="699" customFormat="1" ht="19.5" customHeight="1" x14ac:dyDescent="0.15">
      <c r="A136" s="132">
        <f>내역!A137</f>
        <v>0</v>
      </c>
      <c r="B136" s="154" t="str">
        <f>내역!B137</f>
        <v>4-8</v>
      </c>
      <c r="C136" s="133"/>
      <c r="D136" s="657" t="str">
        <f>내역!D137</f>
        <v>[락커 (수납장15)]</v>
      </c>
      <c r="E136" s="133"/>
      <c r="F136" s="134" t="str">
        <f>내역!F137</f>
        <v>FU-08, 1660*960*300</v>
      </c>
      <c r="G136" s="135">
        <f>내역!G137</f>
        <v>0</v>
      </c>
      <c r="H136" s="136">
        <f>내역!H137</f>
        <v>0</v>
      </c>
      <c r="I136" s="138"/>
      <c r="J136" s="137">
        <f>내역!X137</f>
        <v>0</v>
      </c>
      <c r="K136" s="132"/>
      <c r="L136" s="183"/>
    </row>
    <row r="137" spans="1:12" s="699" customFormat="1" ht="19.5" customHeight="1" x14ac:dyDescent="0.15">
      <c r="A137" s="132">
        <f>내역!A138</f>
        <v>0</v>
      </c>
      <c r="B137" s="154">
        <f>내역!B138</f>
        <v>0</v>
      </c>
      <c r="C137" s="133"/>
      <c r="D137" s="657" t="str">
        <f>내역!D138</f>
        <v>모듈형 목재락커장</v>
      </c>
      <c r="E137" s="133"/>
      <c r="F137" s="134" t="str">
        <f>내역!F138</f>
        <v>300*300*300내외, 넘버락</v>
      </c>
      <c r="G137" s="135" t="str">
        <f>내역!G138</f>
        <v>EA</v>
      </c>
      <c r="H137" s="136">
        <f>내역!H138</f>
        <v>15</v>
      </c>
      <c r="I137" s="138"/>
      <c r="J137" s="137" t="str">
        <f>내역!X138</f>
        <v>3*5</v>
      </c>
      <c r="K137" s="132"/>
      <c r="L137" s="183"/>
    </row>
    <row r="138" spans="1:12" s="699" customFormat="1" ht="19.5" customHeight="1" x14ac:dyDescent="0.15">
      <c r="A138" s="132">
        <f>내역!A139</f>
        <v>0</v>
      </c>
      <c r="B138" s="154" t="str">
        <f>내역!B139</f>
        <v>4-9</v>
      </c>
      <c r="C138" s="133"/>
      <c r="D138" s="657" t="str">
        <f>내역!D139</f>
        <v>[휴지통]</v>
      </c>
      <c r="E138" s="133"/>
      <c r="F138" s="134" t="str">
        <f>내역!F139</f>
        <v>FU-09, 기성품</v>
      </c>
      <c r="G138" s="135">
        <f>내역!G139</f>
        <v>0</v>
      </c>
      <c r="H138" s="136">
        <f>내역!H139</f>
        <v>0</v>
      </c>
      <c r="I138" s="138"/>
      <c r="J138" s="137">
        <f>내역!X139</f>
        <v>0</v>
      </c>
      <c r="K138" s="132"/>
      <c r="L138" s="183"/>
    </row>
    <row r="139" spans="1:12" s="699" customFormat="1" ht="19.5" customHeight="1" x14ac:dyDescent="0.15">
      <c r="A139" s="132">
        <f>내역!A140</f>
        <v>0</v>
      </c>
      <c r="B139" s="154">
        <f>내역!B140</f>
        <v>0</v>
      </c>
      <c r="C139" s="133"/>
      <c r="D139" s="657" t="str">
        <f>내역!D140</f>
        <v>휴지통</v>
      </c>
      <c r="E139" s="133"/>
      <c r="F139" s="134" t="str">
        <f>내역!F140</f>
        <v>지정사양</v>
      </c>
      <c r="G139" s="135" t="str">
        <f>내역!G140</f>
        <v>EA</v>
      </c>
      <c r="H139" s="136">
        <f>내역!H140</f>
        <v>1</v>
      </c>
      <c r="I139" s="138"/>
      <c r="J139" s="137" t="str">
        <f>내역!X140</f>
        <v>1EA</v>
      </c>
      <c r="K139" s="132"/>
      <c r="L139" s="183"/>
    </row>
    <row r="140" spans="1:12" s="699" customFormat="1" ht="19.5" customHeight="1" x14ac:dyDescent="0.15">
      <c r="A140" s="132">
        <f>내역!A141</f>
        <v>0</v>
      </c>
      <c r="B140" s="154" t="str">
        <f>내역!B141</f>
        <v>4-10</v>
      </c>
      <c r="C140" s="133"/>
      <c r="D140" s="657" t="str">
        <f>내역!D141</f>
        <v>[정수기]</v>
      </c>
      <c r="E140" s="133"/>
      <c r="F140" s="134" t="str">
        <f>내역!F141</f>
        <v>FU-11, 기성품</v>
      </c>
      <c r="G140" s="135">
        <f>내역!G141</f>
        <v>0</v>
      </c>
      <c r="H140" s="136">
        <f>내역!H141</f>
        <v>0</v>
      </c>
      <c r="I140" s="138"/>
      <c r="J140" s="137">
        <f>내역!X141</f>
        <v>0</v>
      </c>
      <c r="K140" s="132"/>
      <c r="L140" s="183"/>
    </row>
    <row r="141" spans="1:12" s="699" customFormat="1" ht="19.5" customHeight="1" x14ac:dyDescent="0.15">
      <c r="A141" s="132">
        <f>내역!A142</f>
        <v>0</v>
      </c>
      <c r="B141" s="154">
        <f>내역!B142</f>
        <v>0</v>
      </c>
      <c r="C141" s="133"/>
      <c r="D141" s="657" t="str">
        <f>내역!D142</f>
        <v>정수기</v>
      </c>
      <c r="E141" s="133"/>
      <c r="F141" s="134" t="str">
        <f>내역!F142</f>
        <v>지정사양, 렌탈(1년사용료기준)</v>
      </c>
      <c r="G141" s="135" t="str">
        <f>내역!G142</f>
        <v>EA</v>
      </c>
      <c r="H141" s="136">
        <f>내역!H142</f>
        <v>1</v>
      </c>
      <c r="I141" s="138"/>
      <c r="J141" s="137" t="str">
        <f>내역!X142</f>
        <v>1EA</v>
      </c>
      <c r="K141" s="132"/>
      <c r="L141" s="183"/>
    </row>
    <row r="142" spans="1:12" s="699" customFormat="1" ht="19.5" customHeight="1" x14ac:dyDescent="0.15">
      <c r="A142" s="132">
        <f>내역!A143</f>
        <v>0</v>
      </c>
      <c r="B142" s="154" t="str">
        <f>내역!B143</f>
        <v>4-11</v>
      </c>
      <c r="C142" s="133"/>
      <c r="D142" s="657" t="str">
        <f>내역!D143</f>
        <v>[테이블]</v>
      </c>
      <c r="E142" s="133"/>
      <c r="F142" s="134" t="str">
        <f>내역!F143</f>
        <v>FU-12, 기성품</v>
      </c>
      <c r="G142" s="135">
        <f>내역!G143</f>
        <v>0</v>
      </c>
      <c r="H142" s="136">
        <f>내역!H143</f>
        <v>0</v>
      </c>
      <c r="I142" s="138"/>
      <c r="J142" s="137">
        <f>내역!X143</f>
        <v>0</v>
      </c>
      <c r="K142" s="132"/>
      <c r="L142" s="183"/>
    </row>
    <row r="143" spans="1:12" s="699" customFormat="1" ht="19.5" customHeight="1" x14ac:dyDescent="0.15">
      <c r="A143" s="132">
        <f>내역!A144</f>
        <v>0</v>
      </c>
      <c r="B143" s="154">
        <f>내역!B144</f>
        <v>0</v>
      </c>
      <c r="C143" s="133"/>
      <c r="D143" s="657" t="str">
        <f>내역!D144</f>
        <v>테이블</v>
      </c>
      <c r="E143" s="133"/>
      <c r="F143" s="134" t="str">
        <f>내역!F144</f>
        <v>지정사양</v>
      </c>
      <c r="G143" s="135" t="str">
        <f>내역!G144</f>
        <v>EA</v>
      </c>
      <c r="H143" s="136">
        <f>내역!H144</f>
        <v>1</v>
      </c>
      <c r="I143" s="138"/>
      <c r="J143" s="137" t="str">
        <f>내역!X144</f>
        <v>1EA</v>
      </c>
      <c r="K143" s="132"/>
      <c r="L143" s="183"/>
    </row>
    <row r="144" spans="1:12" s="699" customFormat="1" ht="19.5" customHeight="1" x14ac:dyDescent="0.15">
      <c r="A144" s="132">
        <f>내역!A145</f>
        <v>0</v>
      </c>
      <c r="B144" s="154">
        <f>내역!B145</f>
        <v>0</v>
      </c>
      <c r="C144" s="133"/>
      <c r="D144" s="657">
        <f>내역!D145</f>
        <v>0</v>
      </c>
      <c r="E144" s="133"/>
      <c r="F144" s="134">
        <f>내역!F145</f>
        <v>0</v>
      </c>
      <c r="G144" s="135">
        <f>내역!G145</f>
        <v>0</v>
      </c>
      <c r="H144" s="136">
        <f>내역!H145</f>
        <v>0</v>
      </c>
      <c r="I144" s="138"/>
      <c r="J144" s="137">
        <f>내역!X145</f>
        <v>0</v>
      </c>
      <c r="K144" s="132"/>
      <c r="L144" s="183"/>
    </row>
    <row r="145" spans="1:12" s="699" customFormat="1" ht="19.5" customHeight="1" x14ac:dyDescent="0.15">
      <c r="A145" s="132">
        <f>내역!A146</f>
        <v>0</v>
      </c>
      <c r="B145" s="154">
        <f>내역!B146</f>
        <v>0</v>
      </c>
      <c r="C145" s="133"/>
      <c r="D145" s="657">
        <f>내역!D146</f>
        <v>0</v>
      </c>
      <c r="E145" s="133"/>
      <c r="F145" s="134">
        <f>내역!F146</f>
        <v>0</v>
      </c>
      <c r="G145" s="135">
        <f>내역!G146</f>
        <v>0</v>
      </c>
      <c r="H145" s="136">
        <f>내역!H146</f>
        <v>0</v>
      </c>
      <c r="I145" s="138"/>
      <c r="J145" s="137">
        <f>내역!X146</f>
        <v>0</v>
      </c>
      <c r="K145" s="132"/>
      <c r="L145" s="183"/>
    </row>
    <row r="146" spans="1:12" s="699" customFormat="1" ht="19.5" customHeight="1" x14ac:dyDescent="0.15">
      <c r="A146" s="132">
        <f>내역!A147</f>
        <v>0</v>
      </c>
      <c r="B146" s="154">
        <f>내역!B147</f>
        <v>0</v>
      </c>
      <c r="C146" s="133"/>
      <c r="D146" s="657">
        <f>내역!D147</f>
        <v>0</v>
      </c>
      <c r="E146" s="133"/>
      <c r="F146" s="134">
        <f>내역!F147</f>
        <v>0</v>
      </c>
      <c r="G146" s="135">
        <f>내역!G147</f>
        <v>0</v>
      </c>
      <c r="H146" s="136">
        <f>내역!H147</f>
        <v>0</v>
      </c>
      <c r="I146" s="138"/>
      <c r="J146" s="137">
        <f>내역!X147</f>
        <v>0</v>
      </c>
      <c r="K146" s="132"/>
      <c r="L146" s="183"/>
    </row>
    <row r="147" spans="1:12" s="699" customFormat="1" ht="19.5" customHeight="1" x14ac:dyDescent="0.15">
      <c r="A147" s="132">
        <f>내역!A148</f>
        <v>0</v>
      </c>
      <c r="B147" s="154">
        <f>내역!B148</f>
        <v>0</v>
      </c>
      <c r="C147" s="133"/>
      <c r="D147" s="657">
        <f>내역!D148</f>
        <v>0</v>
      </c>
      <c r="E147" s="133"/>
      <c r="F147" s="134">
        <f>내역!F148</f>
        <v>0</v>
      </c>
      <c r="G147" s="135">
        <f>내역!G148</f>
        <v>0</v>
      </c>
      <c r="H147" s="136">
        <f>내역!H148</f>
        <v>0</v>
      </c>
      <c r="I147" s="138"/>
      <c r="J147" s="137">
        <f>내역!X148</f>
        <v>0</v>
      </c>
      <c r="K147" s="132"/>
      <c r="L147" s="183"/>
    </row>
    <row r="148" spans="1:12" s="699" customFormat="1" ht="19.5" customHeight="1" x14ac:dyDescent="0.15">
      <c r="A148" s="132">
        <f>내역!A149</f>
        <v>0</v>
      </c>
      <c r="B148" s="154">
        <f>내역!B149</f>
        <v>0</v>
      </c>
      <c r="C148" s="133"/>
      <c r="D148" s="657">
        <f>내역!D149</f>
        <v>0</v>
      </c>
      <c r="E148" s="133"/>
      <c r="F148" s="134">
        <f>내역!F149</f>
        <v>0</v>
      </c>
      <c r="G148" s="135">
        <f>내역!G149</f>
        <v>0</v>
      </c>
      <c r="H148" s="136">
        <f>내역!H149</f>
        <v>0</v>
      </c>
      <c r="I148" s="138"/>
      <c r="J148" s="137">
        <f>내역!X149</f>
        <v>0</v>
      </c>
      <c r="K148" s="132"/>
      <c r="L148" s="183"/>
    </row>
    <row r="149" spans="1:12" s="699" customFormat="1" ht="19.5" customHeight="1" x14ac:dyDescent="0.15">
      <c r="A149" s="132">
        <f>내역!A150</f>
        <v>0</v>
      </c>
      <c r="B149" s="154">
        <f>내역!B150</f>
        <v>0</v>
      </c>
      <c r="C149" s="133"/>
      <c r="D149" s="657">
        <f>내역!D150</f>
        <v>0</v>
      </c>
      <c r="E149" s="133"/>
      <c r="F149" s="134">
        <f>내역!F150</f>
        <v>0</v>
      </c>
      <c r="G149" s="135">
        <f>내역!G150</f>
        <v>0</v>
      </c>
      <c r="H149" s="136">
        <f>내역!H150</f>
        <v>0</v>
      </c>
      <c r="I149" s="138"/>
      <c r="J149" s="137">
        <f>내역!X150</f>
        <v>0</v>
      </c>
      <c r="K149" s="132"/>
      <c r="L149" s="183"/>
    </row>
    <row r="150" spans="1:12" s="699" customFormat="1" ht="19.5" customHeight="1" x14ac:dyDescent="0.15">
      <c r="A150" s="132">
        <f>내역!A151</f>
        <v>0</v>
      </c>
      <c r="B150" s="154">
        <f>내역!B151</f>
        <v>0</v>
      </c>
      <c r="C150" s="133"/>
      <c r="D150" s="657">
        <f>내역!D151</f>
        <v>0</v>
      </c>
      <c r="E150" s="133"/>
      <c r="F150" s="134">
        <f>내역!F151</f>
        <v>0</v>
      </c>
      <c r="G150" s="135">
        <f>내역!G151</f>
        <v>0</v>
      </c>
      <c r="H150" s="136">
        <f>내역!H151</f>
        <v>0</v>
      </c>
      <c r="I150" s="138"/>
      <c r="J150" s="137">
        <f>내역!X151</f>
        <v>0</v>
      </c>
      <c r="K150" s="132"/>
      <c r="L150" s="183"/>
    </row>
    <row r="151" spans="1:12" s="699" customFormat="1" ht="19.5" customHeight="1" x14ac:dyDescent="0.15">
      <c r="A151" s="132">
        <f>내역!A152</f>
        <v>0</v>
      </c>
      <c r="B151" s="154">
        <f>내역!B152</f>
        <v>0</v>
      </c>
      <c r="C151" s="133"/>
      <c r="D151" s="657">
        <f>내역!D152</f>
        <v>0</v>
      </c>
      <c r="E151" s="133"/>
      <c r="F151" s="134">
        <f>내역!F152</f>
        <v>0</v>
      </c>
      <c r="G151" s="135">
        <f>내역!G152</f>
        <v>0</v>
      </c>
      <c r="H151" s="136">
        <f>내역!H152</f>
        <v>0</v>
      </c>
      <c r="I151" s="138"/>
      <c r="J151" s="137">
        <f>내역!X152</f>
        <v>0</v>
      </c>
      <c r="K151" s="132"/>
      <c r="L151" s="183"/>
    </row>
    <row r="152" spans="1:12" s="699" customFormat="1" ht="19.5" customHeight="1" x14ac:dyDescent="0.15">
      <c r="A152" s="132">
        <f>내역!A153</f>
        <v>0</v>
      </c>
      <c r="B152" s="154">
        <f>내역!B153</f>
        <v>0</v>
      </c>
      <c r="C152" s="133"/>
      <c r="D152" s="657">
        <f>내역!D153</f>
        <v>0</v>
      </c>
      <c r="E152" s="133"/>
      <c r="F152" s="134">
        <f>내역!F153</f>
        <v>0</v>
      </c>
      <c r="G152" s="135">
        <f>내역!G153</f>
        <v>0</v>
      </c>
      <c r="H152" s="136">
        <f>내역!H153</f>
        <v>0</v>
      </c>
      <c r="I152" s="138"/>
      <c r="J152" s="137">
        <f>내역!X153</f>
        <v>0</v>
      </c>
      <c r="K152" s="132"/>
      <c r="L152" s="183"/>
    </row>
    <row r="153" spans="1:12" s="699" customFormat="1" ht="19.5" customHeight="1" x14ac:dyDescent="0.15">
      <c r="A153" s="132">
        <f>내역!A154</f>
        <v>0</v>
      </c>
      <c r="B153" s="154">
        <f>내역!B154</f>
        <v>0</v>
      </c>
      <c r="C153" s="133"/>
      <c r="D153" s="657">
        <f>내역!D154</f>
        <v>0</v>
      </c>
      <c r="E153" s="133"/>
      <c r="F153" s="134">
        <f>내역!F154</f>
        <v>0</v>
      </c>
      <c r="G153" s="135">
        <f>내역!G154</f>
        <v>0</v>
      </c>
      <c r="H153" s="136">
        <f>내역!H154</f>
        <v>0</v>
      </c>
      <c r="I153" s="138"/>
      <c r="J153" s="137">
        <f>내역!X154</f>
        <v>0</v>
      </c>
      <c r="K153" s="132"/>
      <c r="L153" s="183"/>
    </row>
    <row r="154" spans="1:12" s="699" customFormat="1" ht="19.5" customHeight="1" x14ac:dyDescent="0.15">
      <c r="A154" s="132">
        <f>내역!A155</f>
        <v>0</v>
      </c>
      <c r="B154" s="154">
        <f>내역!B155</f>
        <v>0</v>
      </c>
      <c r="C154" s="133"/>
      <c r="D154" s="657">
        <f>내역!D155</f>
        <v>0</v>
      </c>
      <c r="E154" s="133"/>
      <c r="F154" s="134">
        <f>내역!F155</f>
        <v>0</v>
      </c>
      <c r="G154" s="135">
        <f>내역!G155</f>
        <v>0</v>
      </c>
      <c r="H154" s="136">
        <f>내역!H155</f>
        <v>0</v>
      </c>
      <c r="I154" s="138"/>
      <c r="J154" s="137">
        <f>내역!X155</f>
        <v>0</v>
      </c>
      <c r="K154" s="132"/>
      <c r="L154" s="183"/>
    </row>
    <row r="155" spans="1:12" s="699" customFormat="1" ht="19.5" customHeight="1" x14ac:dyDescent="0.15">
      <c r="A155" s="132">
        <f>내역!A156</f>
        <v>0</v>
      </c>
      <c r="B155" s="154">
        <f>내역!B156</f>
        <v>0</v>
      </c>
      <c r="C155" s="133"/>
      <c r="D155" s="657">
        <f>내역!D156</f>
        <v>0</v>
      </c>
      <c r="E155" s="133"/>
      <c r="F155" s="134">
        <f>내역!F156</f>
        <v>0</v>
      </c>
      <c r="G155" s="135">
        <f>내역!G156</f>
        <v>0</v>
      </c>
      <c r="H155" s="136">
        <f>내역!H156</f>
        <v>0</v>
      </c>
      <c r="I155" s="138"/>
      <c r="J155" s="137">
        <f>내역!X156</f>
        <v>0</v>
      </c>
      <c r="K155" s="132"/>
      <c r="L155" s="183"/>
    </row>
    <row r="156" spans="1:12" s="699" customFormat="1" ht="19.5" customHeight="1" x14ac:dyDescent="0.15">
      <c r="A156" s="132">
        <f>내역!A157</f>
        <v>0</v>
      </c>
      <c r="B156" s="154">
        <f>내역!B157</f>
        <v>0</v>
      </c>
      <c r="C156" s="133"/>
      <c r="D156" s="657">
        <f>내역!D157</f>
        <v>0</v>
      </c>
      <c r="E156" s="133"/>
      <c r="F156" s="134">
        <f>내역!F157</f>
        <v>0</v>
      </c>
      <c r="G156" s="135">
        <f>내역!G157</f>
        <v>0</v>
      </c>
      <c r="H156" s="136">
        <f>내역!H157</f>
        <v>0</v>
      </c>
      <c r="I156" s="138"/>
      <c r="J156" s="137">
        <f>내역!X157</f>
        <v>0</v>
      </c>
      <c r="K156" s="132"/>
      <c r="L156" s="183"/>
    </row>
    <row r="157" spans="1:12" s="699" customFormat="1" ht="19.5" customHeight="1" x14ac:dyDescent="0.15">
      <c r="A157" s="132">
        <f>내역!A158</f>
        <v>0</v>
      </c>
      <c r="B157" s="154">
        <f>내역!B158</f>
        <v>0</v>
      </c>
      <c r="C157" s="133"/>
      <c r="D157" s="657">
        <f>내역!D158</f>
        <v>0</v>
      </c>
      <c r="E157" s="133"/>
      <c r="F157" s="134">
        <f>내역!F158</f>
        <v>0</v>
      </c>
      <c r="G157" s="135">
        <f>내역!G158</f>
        <v>0</v>
      </c>
      <c r="H157" s="136">
        <f>내역!H158</f>
        <v>0</v>
      </c>
      <c r="I157" s="138"/>
      <c r="J157" s="137">
        <f>내역!X158</f>
        <v>0</v>
      </c>
      <c r="K157" s="132"/>
      <c r="L157" s="183"/>
    </row>
    <row r="158" spans="1:12" s="699" customFormat="1" ht="19.5" hidden="1" customHeight="1" x14ac:dyDescent="0.15">
      <c r="A158" s="132">
        <f>내역!A159</f>
        <v>0</v>
      </c>
      <c r="B158" s="154">
        <f>내역!B159</f>
        <v>0</v>
      </c>
      <c r="C158" s="133"/>
      <c r="D158" s="657">
        <f>내역!D159</f>
        <v>0</v>
      </c>
      <c r="E158" s="133"/>
      <c r="F158" s="134">
        <f>내역!F159</f>
        <v>0</v>
      </c>
      <c r="G158" s="135">
        <f>내역!G159</f>
        <v>0</v>
      </c>
      <c r="H158" s="136">
        <f>내역!H159</f>
        <v>0</v>
      </c>
      <c r="I158" s="138"/>
      <c r="J158" s="137">
        <f>내역!X159</f>
        <v>0</v>
      </c>
      <c r="K158" s="132"/>
      <c r="L158" s="183"/>
    </row>
    <row r="159" spans="1:12" s="699" customFormat="1" ht="19.5" customHeight="1" x14ac:dyDescent="0.15">
      <c r="A159" s="132">
        <f>내역!A160</f>
        <v>5</v>
      </c>
      <c r="B159" s="154">
        <f>내역!B160</f>
        <v>0</v>
      </c>
      <c r="C159" s="133"/>
      <c r="D159" s="657" t="str">
        <f>내역!D160</f>
        <v>사인그래픽</v>
      </c>
      <c r="E159" s="133"/>
      <c r="F159" s="134">
        <f>내역!F160</f>
        <v>0</v>
      </c>
      <c r="G159" s="135">
        <f>내역!G160</f>
        <v>0</v>
      </c>
      <c r="H159" s="136">
        <f>내역!H160</f>
        <v>0</v>
      </c>
      <c r="I159" s="138"/>
      <c r="J159" s="137">
        <f>내역!X160</f>
        <v>0</v>
      </c>
      <c r="K159" s="132"/>
      <c r="L159" s="183"/>
    </row>
    <row r="160" spans="1:12" s="699" customFormat="1" ht="19.5" customHeight="1" x14ac:dyDescent="0.15">
      <c r="A160" s="132">
        <f>내역!A161</f>
        <v>0</v>
      </c>
      <c r="B160" s="154" t="str">
        <f>내역!B161</f>
        <v>5-1</v>
      </c>
      <c r="C160" s="133"/>
      <c r="D160" s="657" t="str">
        <f>내역!D161</f>
        <v>[GR-01]</v>
      </c>
      <c r="E160" s="133"/>
      <c r="F160" s="134" t="str">
        <f>내역!F161</f>
        <v>실학박물관 외</v>
      </c>
      <c r="G160" s="135">
        <f>내역!G161</f>
        <v>0</v>
      </c>
      <c r="H160" s="136">
        <f>내역!H161</f>
        <v>0</v>
      </c>
      <c r="I160" s="138"/>
      <c r="J160" s="137">
        <f>내역!X161</f>
        <v>0</v>
      </c>
      <c r="K160" s="132"/>
      <c r="L160" s="183"/>
    </row>
    <row r="161" spans="1:12" s="699" customFormat="1" ht="19.5" customHeight="1" x14ac:dyDescent="0.15">
      <c r="A161" s="132">
        <f>내역!A162</f>
        <v>0</v>
      </c>
      <c r="B161" s="154">
        <f>내역!B162</f>
        <v>0</v>
      </c>
      <c r="C161" s="133"/>
      <c r="D161" s="657" t="str">
        <f>내역!D162</f>
        <v>아크릴 스카시_문자</v>
      </c>
      <c r="E161" s="133"/>
      <c r="F161" s="134" t="str">
        <f>내역!F162</f>
        <v>H:200mm, T:10mm, 한글</v>
      </c>
      <c r="G161" s="135" t="str">
        <f>내역!G162</f>
        <v>EA</v>
      </c>
      <c r="H161" s="136">
        <f>내역!H162</f>
        <v>5</v>
      </c>
      <c r="I161" s="138"/>
      <c r="J161" s="137" t="str">
        <f>내역!X162</f>
        <v xml:space="preserve">5자 실학박물관 </v>
      </c>
      <c r="K161" s="132"/>
      <c r="L161" s="183"/>
    </row>
    <row r="162" spans="1:12" s="699" customFormat="1" ht="19.5" customHeight="1" x14ac:dyDescent="0.15">
      <c r="A162" s="132">
        <f>내역!A163</f>
        <v>0</v>
      </c>
      <c r="B162" s="154">
        <f>내역!B163</f>
        <v>0</v>
      </c>
      <c r="C162" s="133"/>
      <c r="D162" s="657" t="str">
        <f>내역!D163</f>
        <v>아크릴 스카시_문자</v>
      </c>
      <c r="E162" s="133"/>
      <c r="F162" s="134" t="str">
        <f>내역!F163</f>
        <v>H:100mm, T:10mm, 영문</v>
      </c>
      <c r="G162" s="135" t="str">
        <f>내역!G163</f>
        <v>EA</v>
      </c>
      <c r="H162" s="136">
        <f>내역!H163</f>
        <v>17</v>
      </c>
      <c r="I162" s="138"/>
      <c r="J162" s="137" t="str">
        <f>내역!X163</f>
        <v>17자THE MUSEUM OF SILHAK</v>
      </c>
      <c r="K162" s="132"/>
      <c r="L162" s="183"/>
    </row>
    <row r="163" spans="1:12" s="699" customFormat="1" ht="19.5" customHeight="1" x14ac:dyDescent="0.15">
      <c r="A163" s="132">
        <f>내역!A164</f>
        <v>0</v>
      </c>
      <c r="B163" s="154" t="str">
        <f>내역!B164</f>
        <v>5-2</v>
      </c>
      <c r="C163" s="133"/>
      <c r="D163" s="657" t="str">
        <f>내역!D164</f>
        <v>[GR-02]</v>
      </c>
      <c r="E163" s="133"/>
      <c r="F163" s="134" t="str">
        <f>내역!F164</f>
        <v>실학박물관 외</v>
      </c>
      <c r="G163" s="135">
        <f>내역!G164</f>
        <v>0</v>
      </c>
      <c r="H163" s="136">
        <f>내역!H164</f>
        <v>0</v>
      </c>
      <c r="I163" s="138"/>
      <c r="J163" s="137">
        <f>내역!X164</f>
        <v>0</v>
      </c>
      <c r="K163" s="132"/>
      <c r="L163" s="183"/>
    </row>
    <row r="164" spans="1:12" s="699" customFormat="1" ht="19.5" customHeight="1" x14ac:dyDescent="0.15">
      <c r="A164" s="132">
        <f>내역!A165</f>
        <v>0</v>
      </c>
      <c r="B164" s="154">
        <f>내역!B165</f>
        <v>0</v>
      </c>
      <c r="C164" s="133"/>
      <c r="D164" s="657" t="str">
        <f>내역!D165</f>
        <v>아크릴 스카시_문자</v>
      </c>
      <c r="E164" s="133"/>
      <c r="F164" s="134" t="str">
        <f>내역!F165</f>
        <v>H:100mm, T:10mm, 한글</v>
      </c>
      <c r="G164" s="135" t="str">
        <f>내역!G165</f>
        <v>EA</v>
      </c>
      <c r="H164" s="136">
        <f>내역!H165</f>
        <v>7</v>
      </c>
      <c r="I164" s="138"/>
      <c r="J164" s="137" t="str">
        <f>내역!X165</f>
        <v>7자</v>
      </c>
      <c r="K164" s="132"/>
      <c r="L164" s="183"/>
    </row>
    <row r="165" spans="1:12" s="699" customFormat="1" ht="19.5" customHeight="1" x14ac:dyDescent="0.15">
      <c r="A165" s="132">
        <f>내역!A166</f>
        <v>0</v>
      </c>
      <c r="B165" s="154">
        <f>내역!B166</f>
        <v>0</v>
      </c>
      <c r="C165" s="133"/>
      <c r="D165" s="657" t="str">
        <f>내역!D166</f>
        <v>아크릴 스카시_문자</v>
      </c>
      <c r="E165" s="133"/>
      <c r="F165" s="134" t="str">
        <f>내역!F166</f>
        <v>H:80mm, T:10mm, 한글</v>
      </c>
      <c r="G165" s="135" t="str">
        <f>내역!G166</f>
        <v>EA</v>
      </c>
      <c r="H165" s="136">
        <f>내역!H166</f>
        <v>15</v>
      </c>
      <c r="I165" s="138"/>
      <c r="J165" s="137" t="str">
        <f>내역!X166</f>
        <v>15자</v>
      </c>
      <c r="K165" s="132"/>
      <c r="L165" s="183"/>
    </row>
    <row r="166" spans="1:12" s="699" customFormat="1" ht="19.5" customHeight="1" x14ac:dyDescent="0.15">
      <c r="A166" s="132">
        <f>내역!A167</f>
        <v>0</v>
      </c>
      <c r="B166" s="154">
        <f>내역!B167</f>
        <v>0</v>
      </c>
      <c r="C166" s="133"/>
      <c r="D166" s="657" t="str">
        <f>내역!D167</f>
        <v>아크릴 스카시_문자</v>
      </c>
      <c r="E166" s="133"/>
      <c r="F166" s="134" t="str">
        <f>내역!F167</f>
        <v>H:50mm, T:10mm, 한글</v>
      </c>
      <c r="G166" s="135" t="str">
        <f>내역!G167</f>
        <v>EA</v>
      </c>
      <c r="H166" s="136">
        <f>내역!H167</f>
        <v>15</v>
      </c>
      <c r="I166" s="138"/>
      <c r="J166" s="137" t="str">
        <f>내역!X167</f>
        <v>15자</v>
      </c>
      <c r="K166" s="132"/>
      <c r="L166" s="183"/>
    </row>
    <row r="167" spans="1:12" s="699" customFormat="1" ht="19.5" customHeight="1" x14ac:dyDescent="0.15">
      <c r="A167" s="132">
        <f>내역!A168</f>
        <v>0</v>
      </c>
      <c r="B167" s="154" t="str">
        <f>내역!B168</f>
        <v>5-3</v>
      </c>
      <c r="C167" s="133"/>
      <c r="D167" s="657" t="str">
        <f>내역!D168</f>
        <v>[GR-03]</v>
      </c>
      <c r="E167" s="133"/>
      <c r="F167" s="134" t="str">
        <f>내역!F168</f>
        <v>실학박물관 외</v>
      </c>
      <c r="G167" s="135">
        <f>내역!G168</f>
        <v>0</v>
      </c>
      <c r="H167" s="136">
        <f>내역!H168</f>
        <v>0</v>
      </c>
      <c r="I167" s="138"/>
      <c r="J167" s="137">
        <f>내역!X168</f>
        <v>0</v>
      </c>
      <c r="K167" s="132"/>
      <c r="L167" s="183"/>
    </row>
    <row r="168" spans="1:12" s="699" customFormat="1" ht="19.5" customHeight="1" x14ac:dyDescent="0.15">
      <c r="A168" s="132">
        <f>내역!A169</f>
        <v>0</v>
      </c>
      <c r="B168" s="154">
        <f>내역!B169</f>
        <v>0</v>
      </c>
      <c r="C168" s="133"/>
      <c r="D168" s="657" t="str">
        <f>내역!D169</f>
        <v>아크릴 스카시_문자</v>
      </c>
      <c r="E168" s="133"/>
      <c r="F168" s="134" t="str">
        <f>내역!F169</f>
        <v>H:80mm, T:5mm, 영문</v>
      </c>
      <c r="G168" s="135" t="str">
        <f>내역!G169</f>
        <v>EA</v>
      </c>
      <c r="H168" s="136">
        <f>내역!H169</f>
        <v>18</v>
      </c>
      <c r="I168" s="138"/>
      <c r="J168" s="137" t="str">
        <f>내역!X169</f>
        <v>18자</v>
      </c>
      <c r="K168" s="132"/>
      <c r="L168" s="183"/>
    </row>
    <row r="169" spans="1:12" s="699" customFormat="1" ht="19.5" customHeight="1" x14ac:dyDescent="0.15">
      <c r="A169" s="132">
        <f>내역!A170</f>
        <v>0</v>
      </c>
      <c r="B169" s="154" t="str">
        <f>내역!B170</f>
        <v>5-4</v>
      </c>
      <c r="C169" s="133"/>
      <c r="D169" s="657" t="str">
        <f>내역!D170</f>
        <v>[GR-04]</v>
      </c>
      <c r="E169" s="133"/>
      <c r="F169" s="134" t="str">
        <f>내역!F170</f>
        <v>실학박물관 외</v>
      </c>
      <c r="G169" s="135">
        <f>내역!G170</f>
        <v>0</v>
      </c>
      <c r="H169" s="136">
        <f>내역!H170</f>
        <v>0</v>
      </c>
      <c r="I169" s="138"/>
      <c r="J169" s="137">
        <f>내역!X170</f>
        <v>0</v>
      </c>
      <c r="K169" s="132"/>
      <c r="L169" s="183"/>
    </row>
    <row r="170" spans="1:12" s="699" customFormat="1" ht="19.5" customHeight="1" x14ac:dyDescent="0.15">
      <c r="A170" s="132">
        <f>내역!A171</f>
        <v>0</v>
      </c>
      <c r="B170" s="154">
        <f>내역!B171</f>
        <v>0</v>
      </c>
      <c r="C170" s="133"/>
      <c r="D170" s="657" t="str">
        <f>내역!D171</f>
        <v>아크릴 스카시_문자</v>
      </c>
      <c r="E170" s="133"/>
      <c r="F170" s="134" t="str">
        <f>내역!F171</f>
        <v>H:150mm, T:10mm, 영문</v>
      </c>
      <c r="G170" s="135" t="str">
        <f>내역!G171</f>
        <v>EA</v>
      </c>
      <c r="H170" s="136">
        <f>내역!H171</f>
        <v>10</v>
      </c>
      <c r="I170" s="138"/>
      <c r="J170" s="137" t="str">
        <f>내역!X171</f>
        <v>10자</v>
      </c>
      <c r="K170" s="132"/>
      <c r="L170" s="183"/>
    </row>
    <row r="171" spans="1:12" s="699" customFormat="1" ht="19.5" customHeight="1" x14ac:dyDescent="0.15">
      <c r="A171" s="132">
        <f>내역!A172</f>
        <v>0</v>
      </c>
      <c r="B171" s="154" t="str">
        <f>내역!B172</f>
        <v>5-5</v>
      </c>
      <c r="C171" s="133"/>
      <c r="D171" s="657" t="str">
        <f>내역!D172</f>
        <v>[GR-05]</v>
      </c>
      <c r="E171" s="133"/>
      <c r="F171" s="134" t="str">
        <f>내역!F172</f>
        <v>실학박물관 외</v>
      </c>
      <c r="G171" s="135">
        <f>내역!G172</f>
        <v>0</v>
      </c>
      <c r="H171" s="136">
        <f>내역!H172</f>
        <v>0</v>
      </c>
      <c r="I171" s="138"/>
      <c r="J171" s="137">
        <f>내역!X172</f>
        <v>0</v>
      </c>
      <c r="K171" s="132"/>
      <c r="L171" s="183"/>
    </row>
    <row r="172" spans="1:12" s="699" customFormat="1" ht="19.5" customHeight="1" x14ac:dyDescent="0.15">
      <c r="A172" s="132">
        <f>내역!A173</f>
        <v>0</v>
      </c>
      <c r="B172" s="154">
        <f>내역!B173</f>
        <v>0</v>
      </c>
      <c r="C172" s="133"/>
      <c r="D172" s="657" t="str">
        <f>내역!D173</f>
        <v>아크릴 스카시_문자</v>
      </c>
      <c r="E172" s="133"/>
      <c r="F172" s="134" t="str">
        <f>내역!F173</f>
        <v>H:150mm, T:10mm, 영문</v>
      </c>
      <c r="G172" s="135" t="str">
        <f>내역!G173</f>
        <v>EA</v>
      </c>
      <c r="H172" s="136">
        <f>내역!H173</f>
        <v>6</v>
      </c>
      <c r="I172" s="138"/>
      <c r="J172" s="137" t="str">
        <f>내역!X173</f>
        <v xml:space="preserve">6자 </v>
      </c>
      <c r="K172" s="132"/>
      <c r="L172" s="183"/>
    </row>
    <row r="173" spans="1:12" s="699" customFormat="1" ht="19.5" customHeight="1" x14ac:dyDescent="0.15">
      <c r="A173" s="132">
        <f>내역!A174</f>
        <v>0</v>
      </c>
      <c r="B173" s="154" t="str">
        <f>내역!B174</f>
        <v>5-6</v>
      </c>
      <c r="C173" s="133"/>
      <c r="D173" s="657" t="str">
        <f>내역!D174</f>
        <v>[GR-06]</v>
      </c>
      <c r="E173" s="133"/>
      <c r="F173" s="134" t="str">
        <f>내역!F174</f>
        <v>실학박물관 외</v>
      </c>
      <c r="G173" s="135">
        <f>내역!G174</f>
        <v>0</v>
      </c>
      <c r="H173" s="136">
        <f>내역!H174</f>
        <v>0</v>
      </c>
      <c r="I173" s="138"/>
      <c r="J173" s="137">
        <f>내역!X174</f>
        <v>0</v>
      </c>
      <c r="K173" s="132"/>
      <c r="L173" s="183"/>
    </row>
    <row r="174" spans="1:12" s="699" customFormat="1" ht="19.5" customHeight="1" x14ac:dyDescent="0.15">
      <c r="A174" s="132">
        <f>내역!A175</f>
        <v>0</v>
      </c>
      <c r="B174" s="154">
        <f>내역!B175</f>
        <v>0</v>
      </c>
      <c r="C174" s="133"/>
      <c r="D174" s="657" t="str">
        <f>내역!D175</f>
        <v>아크릴 스카시_문자</v>
      </c>
      <c r="E174" s="133"/>
      <c r="F174" s="134" t="str">
        <f>내역!F175</f>
        <v>H:100mm, T:10mm, 한글</v>
      </c>
      <c r="G174" s="135" t="str">
        <f>내역!G175</f>
        <v>EA</v>
      </c>
      <c r="H174" s="136">
        <f>내역!H175</f>
        <v>3</v>
      </c>
      <c r="I174" s="138"/>
      <c r="J174" s="137" t="str">
        <f>내역!X175</f>
        <v>3자</v>
      </c>
      <c r="K174" s="132"/>
      <c r="L174" s="183"/>
    </row>
    <row r="175" spans="1:12" s="699" customFormat="1" ht="19.5" customHeight="1" x14ac:dyDescent="0.15">
      <c r="A175" s="132">
        <f>내역!A176</f>
        <v>0</v>
      </c>
      <c r="B175" s="154">
        <f>내역!B176</f>
        <v>0</v>
      </c>
      <c r="C175" s="133"/>
      <c r="D175" s="657" t="str">
        <f>내역!D176</f>
        <v>아크릴 스카시_문자</v>
      </c>
      <c r="E175" s="133"/>
      <c r="F175" s="134" t="str">
        <f>내역!F176</f>
        <v>H:50mm, T:10mm, 영문</v>
      </c>
      <c r="G175" s="135" t="str">
        <f>내역!G176</f>
        <v>EA</v>
      </c>
      <c r="H175" s="136">
        <f>내역!H176</f>
        <v>11</v>
      </c>
      <c r="I175" s="138"/>
      <c r="J175" s="137" t="str">
        <f>내역!X176</f>
        <v>11자</v>
      </c>
      <c r="K175" s="132"/>
      <c r="L175" s="183"/>
    </row>
    <row r="176" spans="1:12" s="699" customFormat="1" ht="19.5" customHeight="1" x14ac:dyDescent="0.15">
      <c r="A176" s="132">
        <f>내역!A177</f>
        <v>0</v>
      </c>
      <c r="B176" s="154">
        <f>내역!B177</f>
        <v>0</v>
      </c>
      <c r="C176" s="133"/>
      <c r="D176" s="657">
        <f>내역!D177</f>
        <v>0</v>
      </c>
      <c r="E176" s="133"/>
      <c r="F176" s="134">
        <f>내역!F177</f>
        <v>0</v>
      </c>
      <c r="G176" s="135">
        <f>내역!G177</f>
        <v>0</v>
      </c>
      <c r="H176" s="136">
        <f>내역!H177</f>
        <v>0</v>
      </c>
      <c r="I176" s="138"/>
      <c r="J176" s="137">
        <f>내역!X177</f>
        <v>0</v>
      </c>
      <c r="K176" s="132"/>
      <c r="L176" s="183"/>
    </row>
    <row r="177" spans="1:12" s="699" customFormat="1" ht="19.5" customHeight="1" x14ac:dyDescent="0.15">
      <c r="A177" s="132">
        <f>내역!A178</f>
        <v>0</v>
      </c>
      <c r="B177" s="154">
        <f>내역!B178</f>
        <v>0</v>
      </c>
      <c r="C177" s="133"/>
      <c r="D177" s="657">
        <f>내역!D178</f>
        <v>0</v>
      </c>
      <c r="E177" s="133"/>
      <c r="F177" s="134">
        <f>내역!F178</f>
        <v>0</v>
      </c>
      <c r="G177" s="135">
        <f>내역!G178</f>
        <v>0</v>
      </c>
      <c r="H177" s="136">
        <f>내역!H178</f>
        <v>0</v>
      </c>
      <c r="I177" s="138"/>
      <c r="J177" s="137">
        <f>내역!X178</f>
        <v>0</v>
      </c>
      <c r="K177" s="132"/>
      <c r="L177" s="183"/>
    </row>
    <row r="178" spans="1:12" s="699" customFormat="1" ht="19.5" customHeight="1" x14ac:dyDescent="0.15">
      <c r="A178" s="132">
        <f>내역!A179</f>
        <v>0</v>
      </c>
      <c r="B178" s="154">
        <f>내역!B179</f>
        <v>0</v>
      </c>
      <c r="C178" s="133"/>
      <c r="D178" s="657">
        <f>내역!D179</f>
        <v>0</v>
      </c>
      <c r="E178" s="133"/>
      <c r="F178" s="134">
        <f>내역!F179</f>
        <v>0</v>
      </c>
      <c r="G178" s="135">
        <f>내역!G179</f>
        <v>0</v>
      </c>
      <c r="H178" s="136">
        <f>내역!H179</f>
        <v>0</v>
      </c>
      <c r="I178" s="138"/>
      <c r="J178" s="137">
        <f>내역!X179</f>
        <v>0</v>
      </c>
      <c r="K178" s="132"/>
      <c r="L178" s="183"/>
    </row>
    <row r="179" spans="1:12" s="699" customFormat="1" ht="19.5" customHeight="1" x14ac:dyDescent="0.15">
      <c r="A179" s="132">
        <f>내역!A180</f>
        <v>0</v>
      </c>
      <c r="B179" s="154">
        <f>내역!B180</f>
        <v>0</v>
      </c>
      <c r="C179" s="133"/>
      <c r="D179" s="657">
        <f>내역!D180</f>
        <v>0</v>
      </c>
      <c r="E179" s="133"/>
      <c r="F179" s="134">
        <f>내역!F180</f>
        <v>0</v>
      </c>
      <c r="G179" s="135">
        <f>내역!G180</f>
        <v>0</v>
      </c>
      <c r="H179" s="136">
        <f>내역!H180</f>
        <v>0</v>
      </c>
      <c r="I179" s="138"/>
      <c r="J179" s="137">
        <f>내역!X180</f>
        <v>0</v>
      </c>
      <c r="K179" s="132"/>
      <c r="L179" s="183"/>
    </row>
    <row r="180" spans="1:12" s="699" customFormat="1" ht="19.5" customHeight="1" x14ac:dyDescent="0.15">
      <c r="A180" s="132">
        <f>내역!A181</f>
        <v>0</v>
      </c>
      <c r="B180" s="154">
        <f>내역!B181</f>
        <v>0</v>
      </c>
      <c r="C180" s="133"/>
      <c r="D180" s="657">
        <f>내역!D181</f>
        <v>0</v>
      </c>
      <c r="E180" s="133"/>
      <c r="F180" s="134">
        <f>내역!F181</f>
        <v>0</v>
      </c>
      <c r="G180" s="135">
        <f>내역!G181</f>
        <v>0</v>
      </c>
      <c r="H180" s="136">
        <f>내역!H181</f>
        <v>0</v>
      </c>
      <c r="I180" s="138"/>
      <c r="J180" s="137">
        <f>내역!X181</f>
        <v>0</v>
      </c>
      <c r="K180" s="132"/>
      <c r="L180" s="183"/>
    </row>
    <row r="181" spans="1:12" s="699" customFormat="1" ht="19.5" customHeight="1" x14ac:dyDescent="0.15">
      <c r="A181" s="132">
        <f>내역!A182</f>
        <v>6</v>
      </c>
      <c r="B181" s="154">
        <f>내역!B182</f>
        <v>0</v>
      </c>
      <c r="C181" s="133"/>
      <c r="D181" s="657" t="str">
        <f>내역!D182</f>
        <v>영상장비</v>
      </c>
      <c r="E181" s="133"/>
      <c r="F181" s="134">
        <f>내역!F182</f>
        <v>0</v>
      </c>
      <c r="G181" s="135">
        <f>내역!G182</f>
        <v>0</v>
      </c>
      <c r="H181" s="136">
        <f>내역!H182</f>
        <v>0</v>
      </c>
      <c r="I181" s="138"/>
      <c r="J181" s="137">
        <f>내역!X182</f>
        <v>0</v>
      </c>
      <c r="K181" s="132"/>
      <c r="L181" s="183"/>
    </row>
    <row r="182" spans="1:12" s="699" customFormat="1" ht="19.5" customHeight="1" x14ac:dyDescent="0.15">
      <c r="A182" s="132">
        <f>내역!A183</f>
        <v>0</v>
      </c>
      <c r="B182" s="154" t="str">
        <f>내역!B183</f>
        <v>5-1</v>
      </c>
      <c r="C182" s="133"/>
      <c r="D182" s="657" t="str">
        <f>내역!D183</f>
        <v>[메인월 멀티비젼 시스템]</v>
      </c>
      <c r="E182" s="133"/>
      <c r="F182" s="134" t="str">
        <f>내역!F183</f>
        <v>55" DID * 4대</v>
      </c>
      <c r="G182" s="135">
        <f>내역!G183</f>
        <v>0</v>
      </c>
      <c r="H182" s="136">
        <f>내역!H183</f>
        <v>0</v>
      </c>
      <c r="I182" s="138"/>
      <c r="J182" s="137">
        <f>내역!X183</f>
        <v>0</v>
      </c>
      <c r="K182" s="132"/>
      <c r="L182" s="183"/>
    </row>
    <row r="183" spans="1:12" s="699" customFormat="1" ht="19.5" customHeight="1" x14ac:dyDescent="0.15">
      <c r="A183" s="132">
        <f>내역!A184</f>
        <v>0</v>
      </c>
      <c r="B183" s="154">
        <f>내역!B184</f>
        <v>0</v>
      </c>
      <c r="C183" s="133"/>
      <c r="D183" s="657" t="str">
        <f>내역!D184</f>
        <v>DID MULTI MONITOR</v>
      </c>
      <c r="E183" s="133"/>
      <c r="F183" s="134" t="str">
        <f>내역!F184</f>
        <v>55" Full-HD,Silm Bezel</v>
      </c>
      <c r="G183" s="135" t="str">
        <f>내역!G184</f>
        <v>EA</v>
      </c>
      <c r="H183" s="136">
        <f>내역!H184</f>
        <v>4</v>
      </c>
      <c r="I183" s="138"/>
      <c r="J183" s="137" t="str">
        <f>내역!X184</f>
        <v>4대</v>
      </c>
      <c r="K183" s="132"/>
      <c r="L183" s="183"/>
    </row>
    <row r="184" spans="1:12" s="699" customFormat="1" ht="19.5" customHeight="1" x14ac:dyDescent="0.15">
      <c r="A184" s="132">
        <f>내역!A185</f>
        <v>0</v>
      </c>
      <c r="B184" s="154">
        <f>내역!B185</f>
        <v>0</v>
      </c>
      <c r="C184" s="133"/>
      <c r="D184" s="657" t="str">
        <f>내역!D185</f>
        <v>MONITOR BRACKET</v>
      </c>
      <c r="E184" s="133"/>
      <c r="F184" s="134" t="str">
        <f>내역!F185</f>
        <v>벽부형, 대형</v>
      </c>
      <c r="G184" s="135" t="str">
        <f>내역!G185</f>
        <v>EA</v>
      </c>
      <c r="H184" s="136">
        <f>내역!H185</f>
        <v>4</v>
      </c>
      <c r="I184" s="138"/>
      <c r="J184" s="137" t="str">
        <f>내역!X185</f>
        <v>4EA</v>
      </c>
      <c r="K184" s="132"/>
      <c r="L184" s="183"/>
    </row>
    <row r="185" spans="1:12" s="699" customFormat="1" ht="19.5" customHeight="1" x14ac:dyDescent="0.15">
      <c r="A185" s="132">
        <f>내역!A186</f>
        <v>0</v>
      </c>
      <c r="B185" s="154">
        <f>내역!B186</f>
        <v>0</v>
      </c>
      <c r="C185" s="133"/>
      <c r="D185" s="657" t="str">
        <f>내역!D186</f>
        <v>CONTROL COMPUTER</v>
      </c>
      <c r="E185" s="133"/>
      <c r="F185" s="134" t="str">
        <f>내역!F186</f>
        <v>i7</v>
      </c>
      <c r="G185" s="135" t="str">
        <f>내역!G186</f>
        <v>EA</v>
      </c>
      <c r="H185" s="136">
        <f>내역!H186</f>
        <v>1</v>
      </c>
      <c r="I185" s="138"/>
      <c r="J185" s="137" t="str">
        <f>내역!X186</f>
        <v>1대</v>
      </c>
      <c r="K185" s="132"/>
      <c r="L185" s="183"/>
    </row>
    <row r="186" spans="1:12" s="699" customFormat="1" ht="19.5" customHeight="1" x14ac:dyDescent="0.15">
      <c r="A186" s="132">
        <f>내역!A187</f>
        <v>0</v>
      </c>
      <c r="B186" s="154">
        <f>내역!B187</f>
        <v>0</v>
      </c>
      <c r="C186" s="133"/>
      <c r="D186" s="657" t="str">
        <f>내역!D187</f>
        <v>순차전원공급기</v>
      </c>
      <c r="E186" s="133"/>
      <c r="F186" s="134" t="str">
        <f>내역!F187</f>
        <v>8CH, NETWORK</v>
      </c>
      <c r="G186" s="135" t="str">
        <f>내역!G187</f>
        <v>EA</v>
      </c>
      <c r="H186" s="136">
        <f>내역!H187</f>
        <v>1</v>
      </c>
      <c r="I186" s="138"/>
      <c r="J186" s="137" t="str">
        <f>내역!X187</f>
        <v>1EA</v>
      </c>
      <c r="K186" s="132"/>
      <c r="L186" s="183"/>
    </row>
    <row r="187" spans="1:12" s="699" customFormat="1" ht="19.5" customHeight="1" x14ac:dyDescent="0.15">
      <c r="A187" s="132">
        <f>내역!A188</f>
        <v>0</v>
      </c>
      <c r="B187" s="154">
        <f>내역!B188</f>
        <v>0</v>
      </c>
      <c r="C187" s="133"/>
      <c r="D187" s="657" t="str">
        <f>내역!D188</f>
        <v>Sequence power switcher</v>
      </c>
      <c r="E187" s="133"/>
      <c r="F187" s="134">
        <f>내역!F188</f>
        <v>0</v>
      </c>
      <c r="G187" s="135" t="str">
        <f>내역!G188</f>
        <v>EA</v>
      </c>
      <c r="H187" s="136">
        <f>내역!H188</f>
        <v>1</v>
      </c>
      <c r="I187" s="138"/>
      <c r="J187" s="137" t="str">
        <f>내역!X188</f>
        <v>1EA</v>
      </c>
      <c r="K187" s="132"/>
      <c r="L187" s="183"/>
    </row>
    <row r="188" spans="1:12" s="699" customFormat="1" ht="19.5" customHeight="1" x14ac:dyDescent="0.15">
      <c r="A188" s="132">
        <f>내역!A189</f>
        <v>0</v>
      </c>
      <c r="B188" s="154">
        <f>내역!B189</f>
        <v>0</v>
      </c>
      <c r="C188" s="133"/>
      <c r="D188" s="657" t="str">
        <f>내역!D189</f>
        <v>BUTTON CONTROLLER</v>
      </c>
      <c r="E188" s="133"/>
      <c r="F188" s="134" t="str">
        <f>내역!F189</f>
        <v>제작</v>
      </c>
      <c r="G188" s="135" t="str">
        <f>내역!G189</f>
        <v>EA</v>
      </c>
      <c r="H188" s="136">
        <f>내역!H189</f>
        <v>1</v>
      </c>
      <c r="I188" s="138"/>
      <c r="J188" s="137" t="str">
        <f>내역!X189</f>
        <v>1EA</v>
      </c>
      <c r="K188" s="132"/>
      <c r="L188" s="183"/>
    </row>
    <row r="189" spans="1:12" s="699" customFormat="1" ht="19.5" customHeight="1" x14ac:dyDescent="0.15">
      <c r="A189" s="132">
        <f>내역!A190</f>
        <v>0</v>
      </c>
      <c r="B189" s="154">
        <f>내역!B190</f>
        <v>0</v>
      </c>
      <c r="C189" s="133"/>
      <c r="D189" s="657" t="str">
        <f>내역!D190</f>
        <v>POWER AMP</v>
      </c>
      <c r="E189" s="133"/>
      <c r="F189" s="134" t="str">
        <f>내역!F190</f>
        <v>70W+70W</v>
      </c>
      <c r="G189" s="135" t="str">
        <f>내역!G190</f>
        <v>EA</v>
      </c>
      <c r="H189" s="136">
        <f>내역!H190</f>
        <v>1</v>
      </c>
      <c r="I189" s="138"/>
      <c r="J189" s="137" t="str">
        <f>내역!X190</f>
        <v>1EA</v>
      </c>
      <c r="K189" s="132"/>
      <c r="L189" s="183"/>
    </row>
    <row r="190" spans="1:12" s="699" customFormat="1" ht="19.5" customHeight="1" x14ac:dyDescent="0.15">
      <c r="A190" s="132">
        <f>내역!A191</f>
        <v>0</v>
      </c>
      <c r="B190" s="154">
        <f>내역!B191</f>
        <v>0</v>
      </c>
      <c r="C190" s="133"/>
      <c r="D190" s="657" t="str">
        <f>내역!D191</f>
        <v>PC SPEAKER</v>
      </c>
      <c r="E190" s="133"/>
      <c r="F190" s="134" t="str">
        <f>내역!F191</f>
        <v>Powered</v>
      </c>
      <c r="G190" s="135" t="str">
        <f>내역!G191</f>
        <v>EA</v>
      </c>
      <c r="H190" s="136">
        <f>내역!H191</f>
        <v>2</v>
      </c>
      <c r="I190" s="138"/>
      <c r="J190" s="137" t="str">
        <f>내역!X191</f>
        <v>2EA</v>
      </c>
      <c r="K190" s="132"/>
      <c r="L190" s="183"/>
    </row>
    <row r="191" spans="1:12" s="699" customFormat="1" ht="19.5" customHeight="1" x14ac:dyDescent="0.15">
      <c r="A191" s="132">
        <f>내역!A192</f>
        <v>0</v>
      </c>
      <c r="B191" s="154">
        <f>내역!B192</f>
        <v>0</v>
      </c>
      <c r="C191" s="133"/>
      <c r="D191" s="657">
        <f>내역!D192</f>
        <v>0</v>
      </c>
      <c r="E191" s="133"/>
      <c r="F191" s="134">
        <f>내역!F192</f>
        <v>0</v>
      </c>
      <c r="G191" s="135">
        <f>내역!G192</f>
        <v>0</v>
      </c>
      <c r="H191" s="136">
        <f>내역!H192</f>
        <v>0</v>
      </c>
      <c r="I191" s="138"/>
      <c r="J191" s="137">
        <f>내역!X192</f>
        <v>0</v>
      </c>
      <c r="K191" s="132"/>
      <c r="L191" s="183"/>
    </row>
    <row r="192" spans="1:12" s="699" customFormat="1" ht="19.5" customHeight="1" x14ac:dyDescent="0.15">
      <c r="A192" s="132">
        <f>내역!A193</f>
        <v>0</v>
      </c>
      <c r="B192" s="154">
        <f>내역!B193</f>
        <v>0</v>
      </c>
      <c r="C192" s="133"/>
      <c r="D192" s="657">
        <f>내역!D193</f>
        <v>0</v>
      </c>
      <c r="E192" s="133"/>
      <c r="F192" s="134">
        <f>내역!F193</f>
        <v>0</v>
      </c>
      <c r="G192" s="135">
        <f>내역!G193</f>
        <v>0</v>
      </c>
      <c r="H192" s="136">
        <f>내역!H193</f>
        <v>0</v>
      </c>
      <c r="I192" s="138"/>
      <c r="J192" s="137">
        <f>내역!X193</f>
        <v>0</v>
      </c>
      <c r="K192" s="132"/>
      <c r="L192" s="183"/>
    </row>
    <row r="193" spans="1:12" s="699" customFormat="1" ht="19.5" customHeight="1" x14ac:dyDescent="0.15">
      <c r="A193" s="132">
        <f>내역!A194</f>
        <v>0</v>
      </c>
      <c r="B193" s="154">
        <f>내역!B194</f>
        <v>0</v>
      </c>
      <c r="C193" s="133"/>
      <c r="D193" s="657">
        <f>내역!D194</f>
        <v>0</v>
      </c>
      <c r="E193" s="133"/>
      <c r="F193" s="134">
        <f>내역!F194</f>
        <v>0</v>
      </c>
      <c r="G193" s="135">
        <f>내역!G194</f>
        <v>0</v>
      </c>
      <c r="H193" s="136">
        <f>내역!H194</f>
        <v>0</v>
      </c>
      <c r="I193" s="138"/>
      <c r="J193" s="137">
        <f>내역!X194</f>
        <v>0</v>
      </c>
      <c r="K193" s="132"/>
      <c r="L193" s="183"/>
    </row>
    <row r="194" spans="1:12" s="699" customFormat="1" ht="19.5" customHeight="1" x14ac:dyDescent="0.15">
      <c r="A194" s="132">
        <f>내역!A195</f>
        <v>0</v>
      </c>
      <c r="B194" s="154">
        <f>내역!B195</f>
        <v>0</v>
      </c>
      <c r="C194" s="133"/>
      <c r="D194" s="657">
        <f>내역!D195</f>
        <v>0</v>
      </c>
      <c r="E194" s="133"/>
      <c r="F194" s="134">
        <f>내역!F195</f>
        <v>0</v>
      </c>
      <c r="G194" s="135">
        <f>내역!G195</f>
        <v>0</v>
      </c>
      <c r="H194" s="136">
        <f>내역!H195</f>
        <v>0</v>
      </c>
      <c r="I194" s="138"/>
      <c r="J194" s="137">
        <f>내역!X195</f>
        <v>0</v>
      </c>
      <c r="K194" s="132"/>
      <c r="L194" s="183"/>
    </row>
    <row r="195" spans="1:12" s="699" customFormat="1" ht="19.5" customHeight="1" x14ac:dyDescent="0.15">
      <c r="A195" s="132">
        <f>내역!A196</f>
        <v>0</v>
      </c>
      <c r="B195" s="154">
        <f>내역!B196</f>
        <v>0</v>
      </c>
      <c r="C195" s="133"/>
      <c r="D195" s="657">
        <f>내역!D196</f>
        <v>0</v>
      </c>
      <c r="E195" s="133"/>
      <c r="F195" s="134">
        <f>내역!F196</f>
        <v>0</v>
      </c>
      <c r="G195" s="135">
        <f>내역!G196</f>
        <v>0</v>
      </c>
      <c r="H195" s="136">
        <f>내역!H196</f>
        <v>0</v>
      </c>
      <c r="I195" s="138"/>
      <c r="J195" s="137">
        <f>내역!X196</f>
        <v>0</v>
      </c>
      <c r="K195" s="132"/>
      <c r="L195" s="183"/>
    </row>
    <row r="196" spans="1:12" s="699" customFormat="1" ht="19.5" customHeight="1" x14ac:dyDescent="0.15">
      <c r="A196" s="132">
        <f>내역!A197</f>
        <v>0</v>
      </c>
      <c r="B196" s="154">
        <f>내역!B197</f>
        <v>0</v>
      </c>
      <c r="C196" s="133"/>
      <c r="D196" s="657">
        <f>내역!D197</f>
        <v>0</v>
      </c>
      <c r="E196" s="133"/>
      <c r="F196" s="134">
        <f>내역!F197</f>
        <v>0</v>
      </c>
      <c r="G196" s="135">
        <f>내역!G197</f>
        <v>0</v>
      </c>
      <c r="H196" s="136">
        <f>내역!H197</f>
        <v>0</v>
      </c>
      <c r="I196" s="138"/>
      <c r="J196" s="137">
        <f>내역!X197</f>
        <v>0</v>
      </c>
      <c r="K196" s="132"/>
      <c r="L196" s="183"/>
    </row>
    <row r="197" spans="1:12" s="699" customFormat="1" ht="19.5" customHeight="1" x14ac:dyDescent="0.15">
      <c r="A197" s="132">
        <f>내역!A198</f>
        <v>0</v>
      </c>
      <c r="B197" s="154">
        <f>내역!B198</f>
        <v>0</v>
      </c>
      <c r="C197" s="133"/>
      <c r="D197" s="657">
        <f>내역!D198</f>
        <v>0</v>
      </c>
      <c r="E197" s="133"/>
      <c r="F197" s="134">
        <f>내역!F198</f>
        <v>0</v>
      </c>
      <c r="G197" s="135">
        <f>내역!G198</f>
        <v>0</v>
      </c>
      <c r="H197" s="136">
        <f>내역!H198</f>
        <v>0</v>
      </c>
      <c r="I197" s="138"/>
      <c r="J197" s="137">
        <f>내역!X198</f>
        <v>0</v>
      </c>
      <c r="K197" s="132"/>
      <c r="L197" s="183"/>
    </row>
    <row r="198" spans="1:12" s="699" customFormat="1" ht="19.5" customHeight="1" x14ac:dyDescent="0.15">
      <c r="A198" s="132">
        <f>내역!A199</f>
        <v>0</v>
      </c>
      <c r="B198" s="154">
        <f>내역!B199</f>
        <v>0</v>
      </c>
      <c r="C198" s="133"/>
      <c r="D198" s="657">
        <f>내역!D199</f>
        <v>0</v>
      </c>
      <c r="E198" s="133"/>
      <c r="F198" s="134">
        <f>내역!F199</f>
        <v>0</v>
      </c>
      <c r="G198" s="135">
        <f>내역!G199</f>
        <v>0</v>
      </c>
      <c r="H198" s="136">
        <f>내역!H199</f>
        <v>0</v>
      </c>
      <c r="I198" s="138"/>
      <c r="J198" s="137">
        <f>내역!X199</f>
        <v>0</v>
      </c>
      <c r="K198" s="132"/>
      <c r="L198" s="183"/>
    </row>
    <row r="199" spans="1:12" s="699" customFormat="1" ht="19.5" customHeight="1" x14ac:dyDescent="0.15">
      <c r="A199" s="132">
        <f>내역!A200</f>
        <v>0</v>
      </c>
      <c r="B199" s="154">
        <f>내역!B200</f>
        <v>0</v>
      </c>
      <c r="C199" s="133"/>
      <c r="D199" s="657">
        <f>내역!D200</f>
        <v>0</v>
      </c>
      <c r="E199" s="133"/>
      <c r="F199" s="134">
        <f>내역!F200</f>
        <v>0</v>
      </c>
      <c r="G199" s="135">
        <f>내역!G200</f>
        <v>0</v>
      </c>
      <c r="H199" s="136">
        <f>내역!H200</f>
        <v>0</v>
      </c>
      <c r="I199" s="138"/>
      <c r="J199" s="137">
        <f>내역!X200</f>
        <v>0</v>
      </c>
      <c r="K199" s="132"/>
      <c r="L199" s="183"/>
    </row>
    <row r="200" spans="1:12" s="699" customFormat="1" ht="19.5" customHeight="1" x14ac:dyDescent="0.15">
      <c r="A200" s="132">
        <f>내역!A201</f>
        <v>0</v>
      </c>
      <c r="B200" s="154">
        <f>내역!B201</f>
        <v>0</v>
      </c>
      <c r="C200" s="133"/>
      <c r="D200" s="657">
        <f>내역!D201</f>
        <v>0</v>
      </c>
      <c r="E200" s="133"/>
      <c r="F200" s="134">
        <f>내역!F201</f>
        <v>0</v>
      </c>
      <c r="G200" s="135">
        <f>내역!G201</f>
        <v>0</v>
      </c>
      <c r="H200" s="136">
        <f>내역!H201</f>
        <v>0</v>
      </c>
      <c r="I200" s="138"/>
      <c r="J200" s="137">
        <f>내역!X201</f>
        <v>0</v>
      </c>
      <c r="K200" s="132"/>
      <c r="L200" s="183"/>
    </row>
    <row r="201" spans="1:12" s="699" customFormat="1" ht="19.5" customHeight="1" x14ac:dyDescent="0.15">
      <c r="A201" s="132">
        <f>내역!A202</f>
        <v>0</v>
      </c>
      <c r="B201" s="154">
        <f>내역!B202</f>
        <v>0</v>
      </c>
      <c r="C201" s="133"/>
      <c r="D201" s="657">
        <f>내역!D202</f>
        <v>0</v>
      </c>
      <c r="E201" s="133"/>
      <c r="F201" s="134">
        <f>내역!F202</f>
        <v>0</v>
      </c>
      <c r="G201" s="135">
        <f>내역!G202</f>
        <v>0</v>
      </c>
      <c r="H201" s="136">
        <f>내역!H202</f>
        <v>0</v>
      </c>
      <c r="I201" s="138"/>
      <c r="J201" s="137">
        <f>내역!X202</f>
        <v>0</v>
      </c>
      <c r="K201" s="132"/>
      <c r="L201" s="183"/>
    </row>
    <row r="202" spans="1:12" s="699" customFormat="1" ht="19.5" customHeight="1" x14ac:dyDescent="0.15">
      <c r="A202" s="132">
        <f>내역!A203</f>
        <v>0</v>
      </c>
      <c r="B202" s="154">
        <f>내역!B203</f>
        <v>0</v>
      </c>
      <c r="C202" s="133"/>
      <c r="D202" s="657">
        <f>내역!D203</f>
        <v>0</v>
      </c>
      <c r="E202" s="133"/>
      <c r="F202" s="134">
        <f>내역!F203</f>
        <v>0</v>
      </c>
      <c r="G202" s="135">
        <f>내역!G203</f>
        <v>0</v>
      </c>
      <c r="H202" s="136">
        <f>내역!H203</f>
        <v>0</v>
      </c>
      <c r="I202" s="138"/>
      <c r="J202" s="137">
        <f>내역!X203</f>
        <v>0</v>
      </c>
      <c r="K202" s="132"/>
      <c r="L202" s="183"/>
    </row>
  </sheetData>
  <autoFilter ref="A1:L180"/>
  <mergeCells count="1">
    <mergeCell ref="A5:B5"/>
  </mergeCells>
  <phoneticPr fontId="1" type="noConversion"/>
  <printOptions horizontalCentered="1"/>
  <pageMargins left="0.39370078740157483" right="0.39370078740157483" top="0.70866141732283472" bottom="0.51181102362204722" header="0.51181102362204722" footer="0.51181102362204722"/>
  <pageSetup paperSize="9" scale="9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R65"/>
  <sheetViews>
    <sheetView view="pageBreakPreview" topLeftCell="B37" zoomScale="85" zoomScaleSheetLayoutView="85" workbookViewId="0">
      <selection activeCell="J17" sqref="J17"/>
    </sheetView>
  </sheetViews>
  <sheetFormatPr defaultRowHeight="12" x14ac:dyDescent="0.15"/>
  <cols>
    <col min="1" max="1" width="10.28515625" style="160" hidden="1" customWidth="1"/>
    <col min="2" max="2" width="7.42578125" style="160" customWidth="1"/>
    <col min="3" max="3" width="0.85546875" style="160" customWidth="1"/>
    <col min="4" max="4" width="28.140625" style="160" customWidth="1"/>
    <col min="5" max="5" width="0.85546875" style="160" customWidth="1"/>
    <col min="6" max="6" width="28.140625" style="160" customWidth="1"/>
    <col min="7" max="7" width="8.5703125" style="160" customWidth="1"/>
    <col min="8" max="9" width="16.5703125" style="160" customWidth="1"/>
    <col min="10" max="10" width="12.140625" style="160" customWidth="1"/>
    <col min="11" max="11" width="16.5703125" style="160" customWidth="1"/>
    <col min="12" max="12" width="9.140625" style="160" hidden="1" customWidth="1"/>
    <col min="13" max="13" width="12.140625" style="160" customWidth="1"/>
    <col min="14" max="14" width="9" style="637" customWidth="1"/>
    <col min="15" max="15" width="7" style="160" customWidth="1"/>
    <col min="16" max="16" width="9" style="160" customWidth="1"/>
    <col min="17" max="18" width="11.140625" style="160" hidden="1" customWidth="1"/>
    <col min="19" max="22" width="9.140625" style="160"/>
    <col min="23" max="23" width="12.42578125" style="160" bestFit="1" customWidth="1"/>
    <col min="24" max="24" width="15.42578125" style="160" customWidth="1"/>
    <col min="25" max="25" width="9.140625" style="160" customWidth="1"/>
    <col min="26" max="26" width="15.42578125" style="160" customWidth="1"/>
    <col min="27" max="27" width="9.140625" style="160" customWidth="1"/>
    <col min="28" max="28" width="8.5703125" style="160" customWidth="1"/>
    <col min="29" max="29" width="15.42578125" style="160" customWidth="1"/>
    <col min="30" max="30" width="2.140625" style="160" customWidth="1"/>
    <col min="31" max="31" width="11.7109375" style="160" customWidth="1"/>
    <col min="32" max="32" width="15.42578125" style="160" customWidth="1"/>
    <col min="33" max="34" width="9.140625" style="160"/>
    <col min="35" max="35" width="10.85546875" style="160" customWidth="1"/>
    <col min="36" max="16384" width="9.140625" style="160"/>
  </cols>
  <sheetData>
    <row r="1" spans="1:18" ht="13.5" customHeight="1" x14ac:dyDescent="0.15">
      <c r="B1" s="700" t="s">
        <v>617</v>
      </c>
      <c r="G1" s="155"/>
      <c r="H1" s="155"/>
      <c r="I1" s="156"/>
      <c r="J1" s="156"/>
      <c r="K1" s="156"/>
    </row>
    <row r="2" spans="1:18" s="168" customFormat="1" ht="33" customHeight="1" x14ac:dyDescent="0.15">
      <c r="B2" s="157" t="s">
        <v>1060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638"/>
    </row>
    <row r="3" spans="1:18" ht="15.75" customHeight="1" x14ac:dyDescent="0.15">
      <c r="B3" s="158"/>
      <c r="C3" s="158"/>
      <c r="D3" s="158"/>
      <c r="E3" s="158"/>
      <c r="F3" s="158"/>
      <c r="G3" s="158"/>
      <c r="H3" s="158"/>
      <c r="I3" s="158"/>
      <c r="J3" s="158"/>
      <c r="K3" s="158"/>
      <c r="M3" s="158"/>
    </row>
    <row r="4" spans="1:18" s="700" customFormat="1" ht="15.75" customHeight="1" x14ac:dyDescent="0.15">
      <c r="B4" s="836" t="s">
        <v>1430</v>
      </c>
      <c r="C4" s="817"/>
      <c r="D4" s="836"/>
      <c r="E4" s="817"/>
      <c r="F4" s="836"/>
      <c r="G4" s="836"/>
      <c r="H4" s="906"/>
      <c r="I4" s="906"/>
      <c r="J4" s="906"/>
      <c r="K4" s="906"/>
      <c r="M4" s="186" t="s">
        <v>89</v>
      </c>
      <c r="N4" s="838"/>
    </row>
    <row r="5" spans="1:18" s="700" customFormat="1" ht="36.75" customHeight="1" x14ac:dyDescent="0.15">
      <c r="B5" s="821" t="s">
        <v>1074</v>
      </c>
      <c r="C5" s="632" t="s">
        <v>980</v>
      </c>
      <c r="D5" s="839" t="s">
        <v>1061</v>
      </c>
      <c r="E5" s="632"/>
      <c r="F5" s="839" t="s">
        <v>1062</v>
      </c>
      <c r="G5" s="821" t="s">
        <v>588</v>
      </c>
      <c r="H5" s="821" t="s">
        <v>981</v>
      </c>
      <c r="I5" s="820" t="s">
        <v>171</v>
      </c>
      <c r="J5" s="820" t="s">
        <v>194</v>
      </c>
      <c r="K5" s="820" t="s">
        <v>982</v>
      </c>
      <c r="L5" s="821" t="s">
        <v>160</v>
      </c>
      <c r="M5" s="821" t="s">
        <v>643</v>
      </c>
      <c r="N5" s="838"/>
    </row>
    <row r="6" spans="1:18" s="700" customFormat="1" ht="19.5" customHeight="1" x14ac:dyDescent="0.15">
      <c r="A6" s="632" t="str">
        <f>CONCATENATE(D6,F6,G6)</f>
        <v>먹매김구조부㎡</v>
      </c>
      <c r="B6" s="452">
        <v>1</v>
      </c>
      <c r="C6" s="453"/>
      <c r="D6" s="629" t="s">
        <v>983</v>
      </c>
      <c r="E6" s="670"/>
      <c r="F6" s="629" t="s">
        <v>1209</v>
      </c>
      <c r="G6" s="207" t="s">
        <v>350</v>
      </c>
      <c r="H6" s="454" t="str">
        <f>IF(VLOOKUP($B:$B,일위!$I:$O,3,FALSE)=0,"",VLOOKUP($B:$B,일위!$I:$O,3,FALSE))</f>
        <v/>
      </c>
      <c r="I6" s="454">
        <f>IF(VLOOKUP($B:$B,일위!$I:$O,5,FALSE)=0,"",VLOOKUP($B:$B,일위!$I:$O,5,FALSE))</f>
        <v>1521</v>
      </c>
      <c r="J6" s="454" t="str">
        <f>IF(VLOOKUP($B:$B,일위!$I:$O,7,FALSE)=0,"",VLOOKUP($B:$B,일위!$I:$O,7,FALSE))</f>
        <v/>
      </c>
      <c r="K6" s="216">
        <f>SUM(H6:J6)</f>
        <v>1521</v>
      </c>
      <c r="L6" s="455" t="str">
        <f t="shared" ref="L6:L11" si="0">"제"&amp;B6&amp;"호표"</f>
        <v>제1호표</v>
      </c>
      <c r="M6" s="455"/>
      <c r="Q6" s="700" t="str">
        <f>VLOOKUP(A6,내역!I:I,1,FALSE)</f>
        <v>먹매김구조부㎡</v>
      </c>
      <c r="R6" s="700" t="e">
        <f>VLOOKUP(A6,일위!H:H,1,FALSE)</f>
        <v>#N/A</v>
      </c>
    </row>
    <row r="7" spans="1:18" s="700" customFormat="1" ht="19.5" customHeight="1" x14ac:dyDescent="0.15">
      <c r="A7" s="632" t="str">
        <f t="shared" ref="A7:A11" si="1">CONCATENATE(D7,F7,G7)</f>
        <v>이동식강관조립말비계3개월대</v>
      </c>
      <c r="B7" s="452">
        <f>B6+1</f>
        <v>2</v>
      </c>
      <c r="C7" s="453"/>
      <c r="D7" s="629" t="s">
        <v>608</v>
      </c>
      <c r="E7" s="670"/>
      <c r="F7" s="629" t="s">
        <v>1437</v>
      </c>
      <c r="G7" s="207" t="s">
        <v>432</v>
      </c>
      <c r="H7" s="454">
        <f>IF(VLOOKUP($B:$B,일위!$I:$O,3,FALSE)=0,"",VLOOKUP($B:$B,일위!$I:$O,3,FALSE))</f>
        <v>28405</v>
      </c>
      <c r="I7" s="454">
        <f>IF(VLOOKUP($B:$B,일위!$I:$O,5,FALSE)=0,"",VLOOKUP($B:$B,일위!$I:$O,5,FALSE))</f>
        <v>61900</v>
      </c>
      <c r="J7" s="454" t="str">
        <f>IF(VLOOKUP($B:$B,일위!$I:$O,7,FALSE)=0,"",VLOOKUP($B:$B,일위!$I:$O,7,FALSE))</f>
        <v/>
      </c>
      <c r="K7" s="216">
        <f t="shared" ref="K7" si="2">SUM(H7:J7)</f>
        <v>90305</v>
      </c>
      <c r="L7" s="455" t="str">
        <f t="shared" si="0"/>
        <v>제2호표</v>
      </c>
      <c r="M7" s="455"/>
      <c r="Q7" s="700" t="str">
        <f>VLOOKUP(A7,내역!I:I,1,FALSE)</f>
        <v>이동식강관조립말비계3개월대</v>
      </c>
      <c r="R7" s="700" t="e">
        <f>VLOOKUP(A7,일위!H:H,1,FALSE)</f>
        <v>#N/A</v>
      </c>
    </row>
    <row r="8" spans="1:18" s="700" customFormat="1" ht="19.5" customHeight="1" x14ac:dyDescent="0.15">
      <c r="A8" s="632" t="str">
        <f t="shared" si="1"/>
        <v>현장정리정돈준공청소 포함㎡</v>
      </c>
      <c r="B8" s="452">
        <f t="shared" ref="B8:B61" si="3">B7+1</f>
        <v>3</v>
      </c>
      <c r="C8" s="453"/>
      <c r="D8" s="629" t="s">
        <v>984</v>
      </c>
      <c r="E8" s="670"/>
      <c r="F8" s="629" t="s">
        <v>1148</v>
      </c>
      <c r="G8" s="207" t="s">
        <v>350</v>
      </c>
      <c r="H8" s="454">
        <f>IF(VLOOKUP($B:$B,일위!$I:$O,3,FALSE)=0,"",VLOOKUP($B:$B,일위!$I:$O,3,FALSE))</f>
        <v>373</v>
      </c>
      <c r="I8" s="454">
        <f>IF(VLOOKUP($B:$B,일위!$I:$O,5,FALSE)=0,"",VLOOKUP($B:$B,일위!$I:$O,5,FALSE))</f>
        <v>7479</v>
      </c>
      <c r="J8" s="454" t="str">
        <f>IF(VLOOKUP($B:$B,일위!$I:$O,7,FALSE)=0,"",VLOOKUP($B:$B,일위!$I:$O,7,FALSE))</f>
        <v/>
      </c>
      <c r="K8" s="216">
        <f t="shared" ref="K8:K11" si="4">SUM(H8:J8)</f>
        <v>7852</v>
      </c>
      <c r="L8" s="455" t="str">
        <f t="shared" si="0"/>
        <v>제3호표</v>
      </c>
      <c r="M8" s="455"/>
      <c r="Q8" s="700" t="str">
        <f>VLOOKUP(A8,내역!I:I,1,FALSE)</f>
        <v>현장정리정돈준공청소 포함㎡</v>
      </c>
      <c r="R8" s="700" t="e">
        <f>VLOOKUP(A8,일위!H:H,1,FALSE)</f>
        <v>#N/A</v>
      </c>
    </row>
    <row r="9" spans="1:18" s="700" customFormat="1" ht="19.5" customHeight="1" x14ac:dyDescent="0.15">
      <c r="A9" s="632" t="str">
        <f t="shared" si="1"/>
        <v>보양플라베니아,3*6(3T)㎡</v>
      </c>
      <c r="B9" s="452">
        <f t="shared" si="3"/>
        <v>4</v>
      </c>
      <c r="C9" s="453"/>
      <c r="D9" s="629" t="s">
        <v>985</v>
      </c>
      <c r="E9" s="670"/>
      <c r="F9" s="629" t="s">
        <v>986</v>
      </c>
      <c r="G9" s="207" t="s">
        <v>350</v>
      </c>
      <c r="H9" s="454">
        <f>IF(VLOOKUP($B:$B,일위!$I:$O,3,FALSE)=0,"",VLOOKUP($B:$B,일위!$I:$O,3,FALSE))</f>
        <v>2478</v>
      </c>
      <c r="I9" s="454">
        <f>IF(VLOOKUP($B:$B,일위!$I:$O,5,FALSE)=0,"",VLOOKUP($B:$B,일위!$I:$O,5,FALSE))</f>
        <v>1068</v>
      </c>
      <c r="J9" s="454" t="str">
        <f>IF(VLOOKUP($B:$B,일위!$I:$O,7,FALSE)=0,"",VLOOKUP($B:$B,일위!$I:$O,7,FALSE))</f>
        <v/>
      </c>
      <c r="K9" s="216">
        <f t="shared" si="4"/>
        <v>3546</v>
      </c>
      <c r="L9" s="455" t="str">
        <f t="shared" si="0"/>
        <v>제4호표</v>
      </c>
      <c r="M9" s="455"/>
      <c r="Q9" s="700" t="str">
        <f>VLOOKUP(A9,내역!I:I,1,FALSE)</f>
        <v>보양플라베니아,3*6(3T)㎡</v>
      </c>
      <c r="R9" s="700" t="e">
        <f>VLOOKUP(A9,일위!H:H,1,FALSE)</f>
        <v>#N/A</v>
      </c>
    </row>
    <row r="10" spans="1:18" s="700" customFormat="1" ht="19.5" customHeight="1" x14ac:dyDescent="0.15">
      <c r="A10" s="632" t="str">
        <f t="shared" ref="A10" si="5">CONCATENATE(D10,F10,G10)</f>
        <v>벽체 철거구조부 철거㎡</v>
      </c>
      <c r="B10" s="452">
        <f t="shared" si="3"/>
        <v>5</v>
      </c>
      <c r="C10" s="453"/>
      <c r="D10" s="712" t="s">
        <v>1456</v>
      </c>
      <c r="E10" s="736"/>
      <c r="F10" s="712" t="s">
        <v>1469</v>
      </c>
      <c r="G10" s="737" t="s">
        <v>350</v>
      </c>
      <c r="H10" s="454">
        <f>IF(VLOOKUP($B:$B,일위!$I:$O,3,FALSE)=0,"",VLOOKUP($B:$B,일위!$I:$O,3,FALSE))</f>
        <v>587</v>
      </c>
      <c r="I10" s="454">
        <f>IF(VLOOKUP($B:$B,일위!$I:$O,5,FALSE)=0,"",VLOOKUP($B:$B,일위!$I:$O,5,FALSE))</f>
        <v>11748</v>
      </c>
      <c r="J10" s="454" t="str">
        <f>IF(VLOOKUP($B:$B,일위!$I:$O,7,FALSE)=0,"",VLOOKUP($B:$B,일위!$I:$O,7,FALSE))</f>
        <v/>
      </c>
      <c r="K10" s="216">
        <f t="shared" ref="K10" si="6">SUM(H10:J10)</f>
        <v>12335</v>
      </c>
      <c r="L10" s="455" t="str">
        <f t="shared" ref="L10" si="7">"제"&amp;B10&amp;"호표"</f>
        <v>제5호표</v>
      </c>
      <c r="M10" s="455"/>
      <c r="Q10" s="700" t="str">
        <f>VLOOKUP(A10,내역!I:I,1,FALSE)</f>
        <v>벽체 철거구조부 철거㎡</v>
      </c>
      <c r="R10" s="700" t="e">
        <f>VLOOKUP(A10,일위!H:H,1,FALSE)</f>
        <v>#N/A</v>
      </c>
    </row>
    <row r="11" spans="1:18" s="700" customFormat="1" ht="19.5" customHeight="1" x14ac:dyDescent="0.15">
      <c r="A11" s="632" t="str">
        <f t="shared" si="1"/>
        <v>벽체 철거판재류 철거㎡</v>
      </c>
      <c r="B11" s="452">
        <f t="shared" si="3"/>
        <v>6</v>
      </c>
      <c r="C11" s="453"/>
      <c r="D11" s="712" t="s">
        <v>1456</v>
      </c>
      <c r="E11" s="736"/>
      <c r="F11" s="712" t="s">
        <v>1457</v>
      </c>
      <c r="G11" s="737" t="s">
        <v>350</v>
      </c>
      <c r="H11" s="454">
        <f>IF(VLOOKUP($B:$B,일위!$I:$O,3,FALSE)=0,"",VLOOKUP($B:$B,일위!$I:$O,3,FALSE))</f>
        <v>226</v>
      </c>
      <c r="I11" s="454">
        <f>IF(VLOOKUP($B:$B,일위!$I:$O,5,FALSE)=0,"",VLOOKUP($B:$B,일위!$I:$O,5,FALSE))</f>
        <v>4538</v>
      </c>
      <c r="J11" s="454" t="str">
        <f>IF(VLOOKUP($B:$B,일위!$I:$O,7,FALSE)=0,"",VLOOKUP($B:$B,일위!$I:$O,7,FALSE))</f>
        <v/>
      </c>
      <c r="K11" s="216">
        <f t="shared" si="4"/>
        <v>4764</v>
      </c>
      <c r="L11" s="455" t="str">
        <f t="shared" si="0"/>
        <v>제6호표</v>
      </c>
      <c r="M11" s="455"/>
      <c r="Q11" s="700" t="str">
        <f>VLOOKUP(A11,내역!I:I,1,FALSE)</f>
        <v>벽체 철거판재류 철거㎡</v>
      </c>
      <c r="R11" s="700" t="e">
        <f>VLOOKUP(A11,일위!H:H,1,FALSE)</f>
        <v>#N/A</v>
      </c>
    </row>
    <row r="12" spans="1:18" s="700" customFormat="1" ht="19.5" customHeight="1" x14ac:dyDescent="0.15">
      <c r="A12" s="632" t="str">
        <f t="shared" ref="A12" si="8">CONCATENATE(D12,F12,G12)</f>
        <v>지정타일 붙이기THK=5mm, 벽,압착붙임기준㎡</v>
      </c>
      <c r="B12" s="452">
        <f t="shared" si="3"/>
        <v>7</v>
      </c>
      <c r="C12" s="453"/>
      <c r="D12" s="712" t="s">
        <v>1221</v>
      </c>
      <c r="E12" s="736"/>
      <c r="F12" s="712" t="s">
        <v>1222</v>
      </c>
      <c r="G12" s="737" t="s">
        <v>350</v>
      </c>
      <c r="H12" s="454">
        <f>IF(VLOOKUP($B:$B,일위!$I:$O,3,FALSE)=0,"",VLOOKUP($B:$B,일위!$I:$O,3,FALSE))</f>
        <v>42196</v>
      </c>
      <c r="I12" s="454">
        <f>IF(VLOOKUP($B:$B,일위!$I:$O,5,FALSE)=0,"",VLOOKUP($B:$B,일위!$I:$O,5,FALSE))</f>
        <v>41749</v>
      </c>
      <c r="J12" s="454" t="str">
        <f>IF(VLOOKUP($B:$B,일위!$I:$O,7,FALSE)=0,"",VLOOKUP($B:$B,일위!$I:$O,7,FALSE))</f>
        <v/>
      </c>
      <c r="K12" s="216">
        <f t="shared" ref="K12" si="9">SUM(H12:J12)</f>
        <v>83945</v>
      </c>
      <c r="L12" s="455" t="str">
        <f t="shared" ref="L12" si="10">"제"&amp;B12&amp;"호표"</f>
        <v>제7호표</v>
      </c>
      <c r="M12" s="455"/>
      <c r="Q12" s="700" t="str">
        <f>VLOOKUP(A12,내역!I:I,1,FALSE)</f>
        <v>지정타일 붙이기THK=5mm, 벽,압착붙임기준㎡</v>
      </c>
      <c r="R12" s="700" t="e">
        <f>VLOOKUP(A12,일위!H:H,1,FALSE)</f>
        <v>#N/A</v>
      </c>
    </row>
    <row r="13" spans="1:18" s="700" customFormat="1" ht="19.5" customHeight="1" x14ac:dyDescent="0.15">
      <c r="A13" s="632" t="str">
        <f t="shared" ref="A13:A26" si="11">CONCATENATE(D13,F13,G13)</f>
        <v>각재 벽체틀설치30x69, @450㎡</v>
      </c>
      <c r="B13" s="452">
        <f t="shared" si="3"/>
        <v>8</v>
      </c>
      <c r="C13" s="453"/>
      <c r="D13" s="794" t="s">
        <v>1232</v>
      </c>
      <c r="E13" s="795"/>
      <c r="F13" s="794" t="s">
        <v>1226</v>
      </c>
      <c r="G13" s="796" t="s">
        <v>350</v>
      </c>
      <c r="H13" s="454">
        <f>IF(VLOOKUP($B:$B,일위!$I:$O,3,FALSE)=0,"",VLOOKUP($B:$B,일위!$I:$O,3,FALSE))</f>
        <v>16452</v>
      </c>
      <c r="I13" s="454">
        <f>IF(VLOOKUP($B:$B,일위!$I:$O,5,FALSE)=0,"",VLOOKUP($B:$B,일위!$I:$O,5,FALSE))</f>
        <v>5899</v>
      </c>
      <c r="J13" s="454" t="str">
        <f>IF(VLOOKUP($B:$B,일위!$I:$O,7,FALSE)=0,"",VLOOKUP($B:$B,일위!$I:$O,7,FALSE))</f>
        <v/>
      </c>
      <c r="K13" s="216">
        <f t="shared" ref="K13:K20" si="12">SUM(H13:J13)</f>
        <v>22351</v>
      </c>
      <c r="L13" s="455" t="str">
        <f t="shared" ref="L13:L20" si="13">"제"&amp;B13&amp;"호표"</f>
        <v>제8호표</v>
      </c>
      <c r="M13" s="455"/>
      <c r="Q13" s="700" t="str">
        <f>VLOOKUP(A13,내역!I:I,1,FALSE)</f>
        <v>각재 벽체틀설치30x69, @450㎡</v>
      </c>
      <c r="R13" s="700" t="e">
        <f>VLOOKUP(A13,일위!H:H,1,FALSE)</f>
        <v>#N/A</v>
      </c>
    </row>
    <row r="14" spans="1:18" s="700" customFormat="1" ht="19.5" customHeight="1" x14ac:dyDescent="0.15">
      <c r="A14" s="632" t="str">
        <f t="shared" si="11"/>
        <v>각재 벽체틀설치30x30, @450㎡</v>
      </c>
      <c r="B14" s="452">
        <f t="shared" si="3"/>
        <v>9</v>
      </c>
      <c r="C14" s="453"/>
      <c r="D14" s="794" t="s">
        <v>1232</v>
      </c>
      <c r="E14" s="795"/>
      <c r="F14" s="794" t="s">
        <v>1244</v>
      </c>
      <c r="G14" s="796" t="s">
        <v>350</v>
      </c>
      <c r="H14" s="454">
        <f>IF(VLOOKUP($B:$B,일위!$I:$O,3,FALSE)=0,"",VLOOKUP($B:$B,일위!$I:$O,3,FALSE))</f>
        <v>7219</v>
      </c>
      <c r="I14" s="454">
        <f>IF(VLOOKUP($B:$B,일위!$I:$O,5,FALSE)=0,"",VLOOKUP($B:$B,일위!$I:$O,5,FALSE))</f>
        <v>5899</v>
      </c>
      <c r="J14" s="454" t="str">
        <f>IF(VLOOKUP($B:$B,일위!$I:$O,7,FALSE)=0,"",VLOOKUP($B:$B,일위!$I:$O,7,FALSE))</f>
        <v/>
      </c>
      <c r="K14" s="216">
        <f t="shared" si="12"/>
        <v>13118</v>
      </c>
      <c r="L14" s="455" t="str">
        <f t="shared" si="13"/>
        <v>제9호표</v>
      </c>
      <c r="M14" s="455"/>
      <c r="Q14" s="700" t="str">
        <f>VLOOKUP(A14,내역!I:I,1,FALSE)</f>
        <v>각재 벽체틀설치30x30, @450㎡</v>
      </c>
      <c r="R14" s="700" t="e">
        <f>VLOOKUP(A14,일위!H:H,1,FALSE)</f>
        <v>#N/A</v>
      </c>
    </row>
    <row r="15" spans="1:18" s="700" customFormat="1" ht="19.5" customHeight="1" x14ac:dyDescent="0.15">
      <c r="A15" s="632" t="str">
        <f t="shared" ref="A15" si="14">CONCATENATE(D15,F15,G15)</f>
        <v>각재 구조틀설치30x30, @450, 집기/하우징류㎡</v>
      </c>
      <c r="B15" s="452">
        <f t="shared" si="3"/>
        <v>10</v>
      </c>
      <c r="C15" s="453"/>
      <c r="D15" s="794" t="s">
        <v>1282</v>
      </c>
      <c r="E15" s="795"/>
      <c r="F15" s="794" t="s">
        <v>1283</v>
      </c>
      <c r="G15" s="796" t="s">
        <v>350</v>
      </c>
      <c r="H15" s="454">
        <f>IF(VLOOKUP($B:$B,일위!$I:$O,3,FALSE)=0,"",VLOOKUP($B:$B,일위!$I:$O,3,FALSE))</f>
        <v>14727</v>
      </c>
      <c r="I15" s="454">
        <f>IF(VLOOKUP($B:$B,일위!$I:$O,5,FALSE)=0,"",VLOOKUP($B:$B,일위!$I:$O,5,FALSE))</f>
        <v>26162</v>
      </c>
      <c r="J15" s="454" t="str">
        <f>IF(VLOOKUP($B:$B,일위!$I:$O,7,FALSE)=0,"",VLOOKUP($B:$B,일위!$I:$O,7,FALSE))</f>
        <v/>
      </c>
      <c r="K15" s="216">
        <f t="shared" ref="K15" si="15">SUM(H15:J15)</f>
        <v>40889</v>
      </c>
      <c r="L15" s="455" t="str">
        <f t="shared" ref="L15" si="16">"제"&amp;B15&amp;"호표"</f>
        <v>제10호표</v>
      </c>
      <c r="M15" s="455"/>
      <c r="Q15" s="700" t="e">
        <f>VLOOKUP(A15,내역!I:I,1,FALSE)</f>
        <v>#N/A</v>
      </c>
      <c r="R15" s="700" t="e">
        <f>VLOOKUP(A15,일위!H:H,1,FALSE)</f>
        <v>#N/A</v>
      </c>
    </row>
    <row r="16" spans="1:18" s="700" customFormat="1" ht="19.5" customHeight="1" x14ac:dyDescent="0.15">
      <c r="A16" s="632" t="str">
        <f t="shared" ref="A16" si="17">CONCATENATE(D16,F16,G16)</f>
        <v>합판취부(벽체)THK=8.5mm * 1PLY, 바탕㎡</v>
      </c>
      <c r="B16" s="452">
        <f t="shared" si="3"/>
        <v>11</v>
      </c>
      <c r="C16" s="453"/>
      <c r="D16" s="629" t="s">
        <v>990</v>
      </c>
      <c r="E16" s="670"/>
      <c r="F16" s="629" t="s">
        <v>989</v>
      </c>
      <c r="G16" s="207" t="s">
        <v>726</v>
      </c>
      <c r="H16" s="454">
        <f>IF(VLOOKUP($B:$B,일위!$I:$O,3,FALSE)=0,"",VLOOKUP($B:$B,일위!$I:$O,3,FALSE))</f>
        <v>7874</v>
      </c>
      <c r="I16" s="454">
        <f>IF(VLOOKUP($B:$B,일위!$I:$O,5,FALSE)=0,"",VLOOKUP($B:$B,일위!$I:$O,5,FALSE))</f>
        <v>10784</v>
      </c>
      <c r="J16" s="454" t="str">
        <f>IF(VLOOKUP($B:$B,일위!$I:$O,7,FALSE)=0,"",VLOOKUP($B:$B,일위!$I:$O,7,FALSE))</f>
        <v/>
      </c>
      <c r="K16" s="216">
        <f t="shared" si="12"/>
        <v>18658</v>
      </c>
      <c r="L16" s="455" t="str">
        <f t="shared" si="13"/>
        <v>제11호표</v>
      </c>
      <c r="M16" s="455"/>
      <c r="Q16" s="700" t="str">
        <f>VLOOKUP(A16,내역!I:I,1,FALSE)</f>
        <v>합판취부(벽체)THK=8.5mm * 1PLY, 바탕㎡</v>
      </c>
      <c r="R16" s="700" t="e">
        <f>VLOOKUP(A16,일위!H:H,1,FALSE)</f>
        <v>#N/A</v>
      </c>
    </row>
    <row r="17" spans="1:18" s="700" customFormat="1" ht="19.5" customHeight="1" x14ac:dyDescent="0.15">
      <c r="A17" s="632" t="str">
        <f>CONCATENATE(D17,F17,G17)</f>
        <v>섬유판취부(벽체)THK=9mm * 1PLY(마감)㎡</v>
      </c>
      <c r="B17" s="452">
        <f t="shared" si="3"/>
        <v>12</v>
      </c>
      <c r="C17" s="453"/>
      <c r="D17" s="629" t="s">
        <v>435</v>
      </c>
      <c r="E17" s="632"/>
      <c r="F17" s="602" t="s">
        <v>991</v>
      </c>
      <c r="G17" s="820" t="s">
        <v>350</v>
      </c>
      <c r="H17" s="454">
        <f>IF(VLOOKUP($B:$B,일위!$I:$O,3,FALSE)=0,"",VLOOKUP($B:$B,일위!$I:$O,3,FALSE))</f>
        <v>7178</v>
      </c>
      <c r="I17" s="454">
        <f>IF(VLOOKUP($B:$B,일위!$I:$O,5,FALSE)=0,"",VLOOKUP($B:$B,일위!$I:$O,5,FALSE))</f>
        <v>11736</v>
      </c>
      <c r="J17" s="454" t="str">
        <f>IF(VLOOKUP($B:$B,일위!$I:$O,7,FALSE)=0,"",VLOOKUP($B:$B,일위!$I:$O,7,FALSE))</f>
        <v/>
      </c>
      <c r="K17" s="216">
        <f t="shared" si="12"/>
        <v>18914</v>
      </c>
      <c r="L17" s="455" t="str">
        <f t="shared" si="13"/>
        <v>제12호표</v>
      </c>
      <c r="M17" s="455"/>
      <c r="Q17" s="700" t="e">
        <f>VLOOKUP(A17,내역!I:I,1,FALSE)</f>
        <v>#N/A</v>
      </c>
      <c r="R17" s="700" t="e">
        <f>VLOOKUP(A17,일위!H:H,1,FALSE)</f>
        <v>#N/A</v>
      </c>
    </row>
    <row r="18" spans="1:18" s="700" customFormat="1" ht="19.5" customHeight="1" x14ac:dyDescent="0.15">
      <c r="A18" s="632" t="str">
        <f t="shared" si="11"/>
        <v>섬유판가공취부(벽체)THK=9mm * 1PLY, 집기/하우징류㎡</v>
      </c>
      <c r="B18" s="452">
        <f t="shared" si="3"/>
        <v>13</v>
      </c>
      <c r="C18" s="453"/>
      <c r="D18" s="629" t="s">
        <v>992</v>
      </c>
      <c r="E18" s="670"/>
      <c r="F18" s="629" t="s">
        <v>1295</v>
      </c>
      <c r="G18" s="207" t="s">
        <v>726</v>
      </c>
      <c r="H18" s="454">
        <f>IF(VLOOKUP($B:$B,일위!$I:$O,3,FALSE)=0,"",VLOOKUP($B:$B,일위!$I:$O,3,FALSE))</f>
        <v>7570</v>
      </c>
      <c r="I18" s="454">
        <f>IF(VLOOKUP($B:$B,일위!$I:$O,5,FALSE)=0,"",VLOOKUP($B:$B,일위!$I:$O,5,FALSE))</f>
        <v>15117</v>
      </c>
      <c r="J18" s="454" t="str">
        <f>IF(VLOOKUP($B:$B,일위!$I:$O,7,FALSE)=0,"",VLOOKUP($B:$B,일위!$I:$O,7,FALSE))</f>
        <v/>
      </c>
      <c r="K18" s="216">
        <f t="shared" si="12"/>
        <v>22687</v>
      </c>
      <c r="L18" s="455" t="str">
        <f t="shared" si="13"/>
        <v>제13호표</v>
      </c>
      <c r="M18" s="455"/>
      <c r="Q18" s="700" t="str">
        <f>VLOOKUP(A18,내역!I:I,1,FALSE)</f>
        <v>섬유판가공취부(벽체)THK=9mm * 1PLY, 집기/하우징류㎡</v>
      </c>
      <c r="R18" s="700" t="e">
        <f>VLOOKUP(A18,일위!H:H,1,FALSE)</f>
        <v>#N/A</v>
      </c>
    </row>
    <row r="19" spans="1:18" s="700" customFormat="1" ht="19.5" customHeight="1" x14ac:dyDescent="0.15">
      <c r="A19" s="632" t="str">
        <f t="shared" ref="A19" si="18">CONCATENATE(D19,F19,G19)</f>
        <v>섬유판가공취부(벽체)THK=20mm * 1PLY, 집기/하우징류㎡</v>
      </c>
      <c r="B19" s="452">
        <f t="shared" si="3"/>
        <v>14</v>
      </c>
      <c r="C19" s="453"/>
      <c r="D19" s="629" t="s">
        <v>992</v>
      </c>
      <c r="E19" s="670"/>
      <c r="F19" s="629" t="s">
        <v>1296</v>
      </c>
      <c r="G19" s="207" t="s">
        <v>726</v>
      </c>
      <c r="H19" s="454">
        <f>IF(VLOOKUP($B:$B,일위!$I:$O,3,FALSE)=0,"",VLOOKUP($B:$B,일위!$I:$O,3,FALSE))</f>
        <v>15938</v>
      </c>
      <c r="I19" s="454">
        <f>IF(VLOOKUP($B:$B,일위!$I:$O,5,FALSE)=0,"",VLOOKUP($B:$B,일위!$I:$O,5,FALSE))</f>
        <v>15117</v>
      </c>
      <c r="J19" s="454" t="str">
        <f>IF(VLOOKUP($B:$B,일위!$I:$O,7,FALSE)=0,"",VLOOKUP($B:$B,일위!$I:$O,7,FALSE))</f>
        <v/>
      </c>
      <c r="K19" s="216">
        <f t="shared" ref="K19" si="19">SUM(H19:J19)</f>
        <v>31055</v>
      </c>
      <c r="L19" s="455" t="str">
        <f t="shared" ref="L19" si="20">"제"&amp;B19&amp;"호표"</f>
        <v>제14호표</v>
      </c>
      <c r="M19" s="455"/>
      <c r="Q19" s="700" t="str">
        <f>VLOOKUP(A19,내역!I:I,1,FALSE)</f>
        <v>섬유판가공취부(벽체)THK=20mm * 1PLY, 집기/하우징류㎡</v>
      </c>
      <c r="R19" s="700" t="e">
        <f>VLOOKUP(A19,일위!H:H,1,FALSE)</f>
        <v>#N/A</v>
      </c>
    </row>
    <row r="20" spans="1:18" s="700" customFormat="1" ht="19.5" customHeight="1" x14ac:dyDescent="0.15">
      <c r="A20" s="632" t="str">
        <f t="shared" si="11"/>
        <v>걸레받이H=100, 지정도장마감m</v>
      </c>
      <c r="B20" s="452">
        <f t="shared" si="3"/>
        <v>15</v>
      </c>
      <c r="C20" s="453"/>
      <c r="D20" s="629" t="s">
        <v>993</v>
      </c>
      <c r="E20" s="670"/>
      <c r="F20" s="629" t="s">
        <v>1235</v>
      </c>
      <c r="G20" s="207" t="s">
        <v>738</v>
      </c>
      <c r="H20" s="454">
        <f>IF(VLOOKUP($B:$B,일위!$I:$O,3,FALSE)=0,"",VLOOKUP($B:$B,일위!$I:$O,3,FALSE))</f>
        <v>964</v>
      </c>
      <c r="I20" s="454">
        <f>IF(VLOOKUP($B:$B,일위!$I:$O,5,FALSE)=0,"",VLOOKUP($B:$B,일위!$I:$O,5,FALSE))</f>
        <v>4848</v>
      </c>
      <c r="J20" s="454" t="str">
        <f>IF(VLOOKUP($B:$B,일위!$I:$O,7,FALSE)=0,"",VLOOKUP($B:$B,일위!$I:$O,7,FALSE))</f>
        <v/>
      </c>
      <c r="K20" s="216">
        <f t="shared" si="12"/>
        <v>5812</v>
      </c>
      <c r="L20" s="455" t="str">
        <f t="shared" si="13"/>
        <v>제15호표</v>
      </c>
      <c r="M20" s="455"/>
      <c r="Q20" s="700" t="str">
        <f>VLOOKUP(A20,내역!I:I,1,FALSE)</f>
        <v>걸레받이H=100, 지정도장마감m</v>
      </c>
      <c r="R20" s="700" t="e">
        <f>VLOOKUP(A20,일위!H:H,1,FALSE)</f>
        <v>#N/A</v>
      </c>
    </row>
    <row r="21" spans="1:18" s="700" customFormat="1" ht="19.5" customHeight="1" x14ac:dyDescent="0.15">
      <c r="A21" s="632" t="str">
        <f t="shared" si="11"/>
        <v>잡철물제작설치간단기준Kg</v>
      </c>
      <c r="B21" s="452">
        <f t="shared" si="3"/>
        <v>16</v>
      </c>
      <c r="C21" s="453"/>
      <c r="D21" s="629" t="s">
        <v>533</v>
      </c>
      <c r="E21" s="670"/>
      <c r="F21" s="629" t="s">
        <v>574</v>
      </c>
      <c r="G21" s="207" t="s">
        <v>739</v>
      </c>
      <c r="H21" s="454">
        <f>IF(VLOOKUP($B:$B,일위!$I:$O,3,FALSE)=0,"",VLOOKUP($B:$B,일위!$I:$O,3,FALSE))</f>
        <v>239</v>
      </c>
      <c r="I21" s="454">
        <f>IF(VLOOKUP($B:$B,일위!$I:$O,5,FALSE)=0,"",VLOOKUP($B:$B,일위!$I:$O,5,FALSE))</f>
        <v>5079</v>
      </c>
      <c r="J21" s="454">
        <f>IF(VLOOKUP($B:$B,일위!$I:$O,7,FALSE)=0,"",VLOOKUP($B:$B,일위!$I:$O,7,FALSE))</f>
        <v>13</v>
      </c>
      <c r="K21" s="216">
        <f t="shared" ref="K21:K26" si="21">SUM(H21:J21)</f>
        <v>5331</v>
      </c>
      <c r="L21" s="455" t="str">
        <f t="shared" ref="L21:L27" si="22">"제"&amp;B21&amp;"호표"</f>
        <v>제16호표</v>
      </c>
      <c r="M21" s="455"/>
      <c r="Q21" s="700" t="e">
        <f>VLOOKUP(A21,내역!I:I,1,FALSE)</f>
        <v>#N/A</v>
      </c>
      <c r="R21" s="700" t="str">
        <f>VLOOKUP(A21,일위!H:H,1,FALSE)</f>
        <v>잡철물제작설치간단기준Kg</v>
      </c>
    </row>
    <row r="22" spans="1:18" s="700" customFormat="1" ht="19.5" customHeight="1" x14ac:dyDescent="0.15">
      <c r="A22" s="632" t="str">
        <f t="shared" si="11"/>
        <v>잡철물제작설치보통기준Kg</v>
      </c>
      <c r="B22" s="452">
        <f t="shared" si="3"/>
        <v>17</v>
      </c>
      <c r="C22" s="453"/>
      <c r="D22" s="629" t="s">
        <v>859</v>
      </c>
      <c r="E22" s="670"/>
      <c r="F22" s="629" t="s">
        <v>880</v>
      </c>
      <c r="G22" s="207" t="s">
        <v>739</v>
      </c>
      <c r="H22" s="454">
        <f>IF(VLOOKUP($B:$B,일위!$I:$O,3,FALSE)=0,"",VLOOKUP($B:$B,일위!$I:$O,3,FALSE))</f>
        <v>287</v>
      </c>
      <c r="I22" s="454">
        <f>IF(VLOOKUP($B:$B,일위!$I:$O,5,FALSE)=0,"",VLOOKUP($B:$B,일위!$I:$O,5,FALSE))</f>
        <v>6095</v>
      </c>
      <c r="J22" s="454">
        <f>IF(VLOOKUP($B:$B,일위!$I:$O,7,FALSE)=0,"",VLOOKUP($B:$B,일위!$I:$O,7,FALSE))</f>
        <v>16</v>
      </c>
      <c r="K22" s="216">
        <f t="shared" si="21"/>
        <v>6398</v>
      </c>
      <c r="L22" s="455" t="str">
        <f t="shared" si="22"/>
        <v>제17호표</v>
      </c>
      <c r="M22" s="455"/>
      <c r="Q22" s="700" t="e">
        <f>VLOOKUP(A22,내역!I:I,1,FALSE)</f>
        <v>#N/A</v>
      </c>
      <c r="R22" s="700" t="e">
        <f>VLOOKUP(A22,일위!H:H,1,FALSE)</f>
        <v>#N/A</v>
      </c>
    </row>
    <row r="23" spans="1:18" s="700" customFormat="1" ht="19.5" customHeight="1" x14ac:dyDescent="0.15">
      <c r="A23" s="632" t="str">
        <f t="shared" si="11"/>
        <v>잡철물제작설치(강판)보통기준Kg</v>
      </c>
      <c r="B23" s="452">
        <f t="shared" si="3"/>
        <v>18</v>
      </c>
      <c r="C23" s="453"/>
      <c r="D23" s="629" t="s">
        <v>874</v>
      </c>
      <c r="E23" s="670"/>
      <c r="F23" s="629" t="s">
        <v>880</v>
      </c>
      <c r="G23" s="207" t="s">
        <v>739</v>
      </c>
      <c r="H23" s="454">
        <f>IF(VLOOKUP($B:$B,일위!$I:$O,3,FALSE)=0,"",VLOOKUP($B:$B,일위!$I:$O,3,FALSE))</f>
        <v>273</v>
      </c>
      <c r="I23" s="454">
        <f>IF(VLOOKUP($B:$B,일위!$I:$O,5,FALSE)=0,"",VLOOKUP($B:$B,일위!$I:$O,5,FALSE))</f>
        <v>5648</v>
      </c>
      <c r="J23" s="454">
        <f>IF(VLOOKUP($B:$B,일위!$I:$O,7,FALSE)=0,"",VLOOKUP($B:$B,일위!$I:$O,7,FALSE))</f>
        <v>16</v>
      </c>
      <c r="K23" s="216">
        <f t="shared" si="21"/>
        <v>5937</v>
      </c>
      <c r="L23" s="455" t="str">
        <f t="shared" si="22"/>
        <v>제18호표</v>
      </c>
      <c r="M23" s="455"/>
      <c r="Q23" s="700" t="e">
        <f>VLOOKUP(A23,내역!I:I,1,FALSE)</f>
        <v>#N/A</v>
      </c>
      <c r="R23" s="700" t="str">
        <f>VLOOKUP(A23,일위!H:H,1,FALSE)</f>
        <v>잡철물제작설치(강판)보통기준Kg</v>
      </c>
    </row>
    <row r="24" spans="1:18" s="572" customFormat="1" ht="19.5" customHeight="1" x14ac:dyDescent="0.15">
      <c r="B24" s="644" t="s">
        <v>1200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0"/>
      <c r="Q24" s="700" t="e">
        <f>VLOOKUP(A24,내역!I:I,1,FALSE)</f>
        <v>#N/A</v>
      </c>
      <c r="R24" s="700" t="e">
        <f>VLOOKUP(A24,일위!H:H,1,FALSE)</f>
        <v>#N/A</v>
      </c>
    </row>
    <row r="25" spans="1:18" s="700" customFormat="1" ht="19.5" customHeight="1" x14ac:dyDescent="0.15">
      <c r="A25" s="632" t="str">
        <f t="shared" si="11"/>
        <v>앵커볼트EA</v>
      </c>
      <c r="B25" s="452">
        <f>B23+1</f>
        <v>19</v>
      </c>
      <c r="C25" s="453"/>
      <c r="D25" s="629" t="s">
        <v>869</v>
      </c>
      <c r="E25" s="670"/>
      <c r="F25" s="629"/>
      <c r="G25" s="207" t="s">
        <v>740</v>
      </c>
      <c r="H25" s="454">
        <f>IF(VLOOKUP($B:$B,일위!$I:$O,3,FALSE)=0,"",VLOOKUP($B:$B,일위!$I:$O,3,FALSE))</f>
        <v>437</v>
      </c>
      <c r="I25" s="454">
        <f>IF(VLOOKUP($B:$B,일위!$I:$O,5,FALSE)=0,"",VLOOKUP($B:$B,일위!$I:$O,5,FALSE))</f>
        <v>13111</v>
      </c>
      <c r="J25" s="454" t="str">
        <f>IF(VLOOKUP($B:$B,일위!$I:$O,7,FALSE)=0,"",VLOOKUP($B:$B,일위!$I:$O,7,FALSE))</f>
        <v/>
      </c>
      <c r="K25" s="216">
        <f t="shared" si="21"/>
        <v>13548</v>
      </c>
      <c r="L25" s="455" t="str">
        <f t="shared" si="22"/>
        <v>제19호표</v>
      </c>
      <c r="M25" s="455"/>
      <c r="Q25" s="700" t="e">
        <f>VLOOKUP(A25,내역!I:I,1,FALSE)</f>
        <v>#N/A</v>
      </c>
      <c r="R25" s="700" t="str">
        <f>VLOOKUP(A25,일위!H:H,1,FALSE)</f>
        <v>앵커볼트EA</v>
      </c>
    </row>
    <row r="26" spans="1:18" s="700" customFormat="1" ht="19.5" customHeight="1" x14ac:dyDescent="0.15">
      <c r="A26" s="632" t="str">
        <f t="shared" si="11"/>
        <v>각파이프30*30*1.4T(S)m</v>
      </c>
      <c r="B26" s="452">
        <f t="shared" si="3"/>
        <v>20</v>
      </c>
      <c r="C26" s="453"/>
      <c r="D26" s="629" t="s">
        <v>434</v>
      </c>
      <c r="E26" s="670"/>
      <c r="F26" s="629" t="s">
        <v>864</v>
      </c>
      <c r="G26" s="207" t="s">
        <v>351</v>
      </c>
      <c r="H26" s="454">
        <f>IF(VLOOKUP($B:$B,일위!$I:$O,3,FALSE)=0,"",VLOOKUP($B:$B,일위!$I:$O,3,FALSE))</f>
        <v>1821</v>
      </c>
      <c r="I26" s="454">
        <f>IF(VLOOKUP($B:$B,일위!$I:$O,5,FALSE)=0,"",VLOOKUP($B:$B,일위!$I:$O,5,FALSE))</f>
        <v>6798</v>
      </c>
      <c r="J26" s="454">
        <f>IF(VLOOKUP($B:$B,일위!$I:$O,7,FALSE)=0,"",VLOOKUP($B:$B,일위!$I:$O,7,FALSE))</f>
        <v>15</v>
      </c>
      <c r="K26" s="216">
        <f t="shared" si="21"/>
        <v>8634</v>
      </c>
      <c r="L26" s="455" t="str">
        <f t="shared" si="22"/>
        <v>제20호표</v>
      </c>
      <c r="M26" s="455"/>
      <c r="Q26" s="700" t="str">
        <f>VLOOKUP(A26,내역!I:I,1,FALSE)</f>
        <v>각파이프30*30*1.4T(S)m</v>
      </c>
      <c r="R26" s="700" t="str">
        <f>VLOOKUP(A26,일위!H:H,1,FALSE)</f>
        <v>각파이프30*30*1.4T(S)m</v>
      </c>
    </row>
    <row r="27" spans="1:18" s="700" customFormat="1" ht="19.5" customHeight="1" x14ac:dyDescent="0.15">
      <c r="A27" s="632" t="str">
        <f t="shared" ref="A27:A29" si="23">CONCATENATE(D27,F27,G27)</f>
        <v>각파이프구조틀30*30*1.4T(S),@450㎡</v>
      </c>
      <c r="B27" s="452">
        <f>B26+1</f>
        <v>21</v>
      </c>
      <c r="C27" s="453"/>
      <c r="D27" s="629" t="s">
        <v>433</v>
      </c>
      <c r="E27" s="670"/>
      <c r="F27" s="629" t="s">
        <v>866</v>
      </c>
      <c r="G27" s="207" t="s">
        <v>350</v>
      </c>
      <c r="H27" s="454">
        <f>IF(VLOOKUP($B:$B,일위!$I:$O,3,FALSE)=0,"",VLOOKUP($B:$B,일위!$I:$O,3,FALSE))</f>
        <v>12173</v>
      </c>
      <c r="I27" s="454">
        <f>IF(VLOOKUP($B:$B,일위!$I:$O,5,FALSE)=0,"",VLOOKUP($B:$B,일위!$I:$O,5,FALSE))</f>
        <v>53614</v>
      </c>
      <c r="J27" s="454">
        <f>IF(VLOOKUP($B:$B,일위!$I:$O,7,FALSE)=0,"",VLOOKUP($B:$B,일위!$I:$O,7,FALSE))</f>
        <v>78</v>
      </c>
      <c r="K27" s="216">
        <f t="shared" ref="K27:K29" si="24">SUM(H27:J27)</f>
        <v>65865</v>
      </c>
      <c r="L27" s="455" t="str">
        <f t="shared" si="22"/>
        <v>제21호표</v>
      </c>
      <c r="M27" s="455"/>
      <c r="Q27" s="700" t="str">
        <f>VLOOKUP(A27,내역!I:I,1,FALSE)</f>
        <v>각파이프구조틀30*30*1.4T(S),@450㎡</v>
      </c>
      <c r="R27" s="700" t="e">
        <f>VLOOKUP(A27,일위!H:H,1,FALSE)</f>
        <v>#N/A</v>
      </c>
    </row>
    <row r="28" spans="1:18" s="700" customFormat="1" ht="19.5" customHeight="1" x14ac:dyDescent="0.15">
      <c r="A28" s="632" t="str">
        <f t="shared" si="23"/>
        <v>각파이프구조틀보강30*30*1.4T(S),@450㎡</v>
      </c>
      <c r="B28" s="452">
        <f t="shared" si="3"/>
        <v>22</v>
      </c>
      <c r="C28" s="453"/>
      <c r="D28" s="629" t="s">
        <v>506</v>
      </c>
      <c r="E28" s="670"/>
      <c r="F28" s="629" t="s">
        <v>994</v>
      </c>
      <c r="G28" s="207" t="s">
        <v>350</v>
      </c>
      <c r="H28" s="454">
        <f>IF(VLOOKUP($B:$B,일위!$I:$O,3,FALSE)=0,"",VLOOKUP($B:$B,일위!$I:$O,3,FALSE))</f>
        <v>3068</v>
      </c>
      <c r="I28" s="454">
        <f>IF(VLOOKUP($B:$B,일위!$I:$O,5,FALSE)=0,"",VLOOKUP($B:$B,일위!$I:$O,5,FALSE))</f>
        <v>19624</v>
      </c>
      <c r="J28" s="454">
        <f>IF(VLOOKUP($B:$B,일위!$I:$O,7,FALSE)=0,"",VLOOKUP($B:$B,일위!$I:$O,7,FALSE))</f>
        <v>3</v>
      </c>
      <c r="K28" s="216">
        <f t="shared" si="24"/>
        <v>22695</v>
      </c>
      <c r="L28" s="455" t="str">
        <f t="shared" ref="L28:L29" si="25">"제"&amp;B28&amp;"호표"</f>
        <v>제22호표</v>
      </c>
      <c r="M28" s="455"/>
      <c r="Q28" s="700" t="e">
        <f>VLOOKUP(A28,내역!I:I,1,FALSE)</f>
        <v>#N/A</v>
      </c>
      <c r="R28" s="700" t="str">
        <f>VLOOKUP(A28,일위!H:H,1,FALSE)</f>
        <v>각파이프구조틀보강30*30*1.4T(S),@450㎡</v>
      </c>
    </row>
    <row r="29" spans="1:18" s="700" customFormat="1" ht="19.5" customHeight="1" x14ac:dyDescent="0.15">
      <c r="A29" s="632" t="str">
        <f t="shared" si="23"/>
        <v>ST'L PLATEGAL-V, THK=1.6mm(S)㎡</v>
      </c>
      <c r="B29" s="452">
        <f t="shared" si="3"/>
        <v>23</v>
      </c>
      <c r="C29" s="453"/>
      <c r="D29" s="629" t="s">
        <v>741</v>
      </c>
      <c r="E29" s="670"/>
      <c r="F29" s="629" t="s">
        <v>742</v>
      </c>
      <c r="G29" s="207" t="s">
        <v>726</v>
      </c>
      <c r="H29" s="454">
        <f>IF(VLOOKUP($B:$B,일위!$I:$O,3,FALSE)=0,"",VLOOKUP($B:$B,일위!$I:$O,3,FALSE))</f>
        <v>19165</v>
      </c>
      <c r="I29" s="454">
        <f>IF(VLOOKUP($B:$B,일위!$I:$O,5,FALSE)=0,"",VLOOKUP($B:$B,일위!$I:$O,5,FALSE))</f>
        <v>91689</v>
      </c>
      <c r="J29" s="454">
        <f>IF(VLOOKUP($B:$B,일위!$I:$O,7,FALSE)=0,"",VLOOKUP($B:$B,일위!$I:$O,7,FALSE))</f>
        <v>207</v>
      </c>
      <c r="K29" s="216">
        <f t="shared" si="24"/>
        <v>111061</v>
      </c>
      <c r="L29" s="455" t="str">
        <f t="shared" si="25"/>
        <v>제23호표</v>
      </c>
      <c r="M29" s="455"/>
      <c r="Q29" s="700" t="e">
        <f>VLOOKUP(A29,내역!I:I,1,FALSE)</f>
        <v>#N/A</v>
      </c>
      <c r="R29" s="700" t="str">
        <f>VLOOKUP(A29,일위!H:H,1,FALSE)</f>
        <v>ST'L PLATEGAL-V, THK=1.6mm(S)㎡</v>
      </c>
    </row>
    <row r="30" spans="1:18" s="700" customFormat="1" ht="19.5" customHeight="1" x14ac:dyDescent="0.15">
      <c r="A30" s="632" t="str">
        <f t="shared" ref="A30:A31" si="26">CONCATENATE(D30,F30,G30)</f>
        <v>간접조명 후레임GAL'V,THK=1.6mm(S) W=160m</v>
      </c>
      <c r="B30" s="452">
        <f>B29+1</f>
        <v>24</v>
      </c>
      <c r="C30" s="453"/>
      <c r="D30" s="707" t="s">
        <v>1258</v>
      </c>
      <c r="E30" s="736"/>
      <c r="F30" s="629" t="s">
        <v>1259</v>
      </c>
      <c r="G30" s="207" t="s">
        <v>351</v>
      </c>
      <c r="H30" s="454">
        <f>IF(VLOOKUP($B:$B,일위!$I:$O,3,FALSE)=0,"",VLOOKUP($B:$B,일위!$I:$O,3,FALSE))</f>
        <v>10679</v>
      </c>
      <c r="I30" s="454">
        <f>IF(VLOOKUP($B:$B,일위!$I:$O,5,FALSE)=0,"",VLOOKUP($B:$B,일위!$I:$O,5,FALSE))</f>
        <v>26414</v>
      </c>
      <c r="J30" s="454">
        <f>IF(VLOOKUP($B:$B,일위!$I:$O,7,FALSE)=0,"",VLOOKUP($B:$B,일위!$I:$O,7,FALSE))</f>
        <v>33</v>
      </c>
      <c r="K30" s="216">
        <f t="shared" ref="K30:K31" si="27">SUM(H30:J30)</f>
        <v>37126</v>
      </c>
      <c r="L30" s="455" t="str">
        <f t="shared" ref="L30:L31" si="28">"제"&amp;B30&amp;"호표"</f>
        <v>제24호표</v>
      </c>
      <c r="M30" s="455"/>
      <c r="Q30" s="700" t="str">
        <f>VLOOKUP(A30,내역!I:I,1,FALSE)</f>
        <v>간접조명 후레임GAL'V,THK=1.6mm(S) W=160m</v>
      </c>
      <c r="R30" s="700" t="e">
        <f>VLOOKUP(A30,일위!H:H,1,FALSE)</f>
        <v>#N/A</v>
      </c>
    </row>
    <row r="31" spans="1:18" s="700" customFormat="1" ht="19.5" customHeight="1" x14ac:dyDescent="0.15">
      <c r="A31" s="632" t="str">
        <f t="shared" si="26"/>
        <v>LED LINE 조명 설치LED BAR 14.4Wm</v>
      </c>
      <c r="B31" s="452">
        <f t="shared" si="3"/>
        <v>25</v>
      </c>
      <c r="C31" s="453"/>
      <c r="D31" s="629" t="s">
        <v>1260</v>
      </c>
      <c r="E31" s="670"/>
      <c r="F31" s="629" t="s">
        <v>1262</v>
      </c>
      <c r="G31" s="207" t="s">
        <v>351</v>
      </c>
      <c r="H31" s="454">
        <f>IF(VLOOKUP($B:$B,일위!$I:$O,3,FALSE)=0,"",VLOOKUP($B:$B,일위!$I:$O,3,FALSE))</f>
        <v>24000</v>
      </c>
      <c r="I31" s="454">
        <f>IF(VLOOKUP($B:$B,일위!$I:$O,5,FALSE)=0,"",VLOOKUP($B:$B,일위!$I:$O,5,FALSE))</f>
        <v>22386</v>
      </c>
      <c r="J31" s="454" t="str">
        <f>IF(VLOOKUP($B:$B,일위!$I:$O,7,FALSE)=0,"",VLOOKUP($B:$B,일위!$I:$O,7,FALSE))</f>
        <v/>
      </c>
      <c r="K31" s="216">
        <f t="shared" si="27"/>
        <v>46386</v>
      </c>
      <c r="L31" s="455" t="str">
        <f t="shared" si="28"/>
        <v>제25호표</v>
      </c>
      <c r="M31" s="455"/>
      <c r="Q31" s="700" t="str">
        <f>VLOOKUP(A31,내역!I:I,1,FALSE)</f>
        <v>LED LINE 조명 설치LED BAR 14.4Wm</v>
      </c>
      <c r="R31" s="700" t="e">
        <f>VLOOKUP(A31,일위!H:H,1,FALSE)</f>
        <v>#N/A</v>
      </c>
    </row>
    <row r="32" spans="1:18" s="700" customFormat="1" ht="19.5" customHeight="1" x14ac:dyDescent="0.15">
      <c r="A32" s="632" t="str">
        <f t="shared" ref="A32:A37" si="29">CONCATENATE(D32,F32,G32)</f>
        <v>경량철골천정틀M-BAR㎡</v>
      </c>
      <c r="B32" s="452">
        <f t="shared" si="3"/>
        <v>26</v>
      </c>
      <c r="C32" s="453"/>
      <c r="D32" s="642" t="s">
        <v>538</v>
      </c>
      <c r="E32" s="670"/>
      <c r="F32" s="539" t="s">
        <v>363</v>
      </c>
      <c r="G32" s="207" t="s">
        <v>350</v>
      </c>
      <c r="H32" s="454">
        <f>IF(VLOOKUP($B:$B,일위!$I:$O,3,FALSE)=0,"",VLOOKUP($B:$B,일위!$I:$O,3,FALSE))</f>
        <v>8575</v>
      </c>
      <c r="I32" s="454">
        <f>IF(VLOOKUP($B:$B,일위!$I:$O,5,FALSE)=0,"",VLOOKUP($B:$B,일위!$I:$O,5,FALSE))</f>
        <v>7315</v>
      </c>
      <c r="J32" s="454" t="str">
        <f>IF(VLOOKUP($B:$B,일위!$I:$O,7,FALSE)=0,"",VLOOKUP($B:$B,일위!$I:$O,7,FALSE))</f>
        <v/>
      </c>
      <c r="K32" s="216">
        <f t="shared" ref="K32:K37" si="30">SUM(H32:J32)</f>
        <v>15890</v>
      </c>
      <c r="L32" s="455" t="str">
        <f>"제"&amp;B32&amp;"호표"</f>
        <v>제26호표</v>
      </c>
      <c r="M32" s="455"/>
      <c r="Q32" s="700" t="e">
        <f>VLOOKUP(A32,내역!I:I,1,FALSE)</f>
        <v>#N/A</v>
      </c>
      <c r="R32" s="700" t="e">
        <f>VLOOKUP(A32,일위!H:H,1,FALSE)</f>
        <v>#N/A</v>
      </c>
    </row>
    <row r="33" spans="1:18" s="700" customFormat="1" ht="19.5" customHeight="1" x14ac:dyDescent="0.15">
      <c r="A33" s="632" t="str">
        <f t="shared" si="29"/>
        <v>AL 몰딩설치M-BARm</v>
      </c>
      <c r="B33" s="452">
        <f t="shared" si="3"/>
        <v>27</v>
      </c>
      <c r="C33" s="453"/>
      <c r="D33" s="629" t="s">
        <v>995</v>
      </c>
      <c r="E33" s="670"/>
      <c r="F33" s="629" t="s">
        <v>996</v>
      </c>
      <c r="G33" s="207" t="s">
        <v>738</v>
      </c>
      <c r="H33" s="454">
        <f>IF(VLOOKUP($B:$B,일위!$I:$O,3,FALSE)=0,"",VLOOKUP($B:$B,일위!$I:$O,3,FALSE))</f>
        <v>2534</v>
      </c>
      <c r="I33" s="454">
        <f>IF(VLOOKUP($B:$B,일위!$I:$O,5,FALSE)=0,"",VLOOKUP($B:$B,일위!$I:$O,5,FALSE))</f>
        <v>5606</v>
      </c>
      <c r="J33" s="454" t="str">
        <f>IF(VLOOKUP($B:$B,일위!$I:$O,7,FALSE)=0,"",VLOOKUP($B:$B,일위!$I:$O,7,FALSE))</f>
        <v/>
      </c>
      <c r="K33" s="216">
        <f t="shared" si="30"/>
        <v>8140</v>
      </c>
      <c r="L33" s="455" t="str">
        <f>"제"&amp;B33&amp;"호표"</f>
        <v>제27호표</v>
      </c>
      <c r="M33" s="455"/>
      <c r="Q33" s="700" t="e">
        <f>VLOOKUP(A33,내역!I:I,1,FALSE)</f>
        <v>#N/A</v>
      </c>
      <c r="R33" s="700" t="e">
        <f>VLOOKUP(A33,일위!H:H,1,FALSE)</f>
        <v>#N/A</v>
      </c>
    </row>
    <row r="34" spans="1:18" s="700" customFormat="1" ht="19.5" customHeight="1" x14ac:dyDescent="0.15">
      <c r="A34" s="632" t="str">
        <f t="shared" si="29"/>
        <v>경량벽체틀(C-65)65*45*0.8T㎡</v>
      </c>
      <c r="B34" s="452">
        <f t="shared" si="3"/>
        <v>28</v>
      </c>
      <c r="C34" s="453"/>
      <c r="D34" s="629" t="s">
        <v>997</v>
      </c>
      <c r="E34" s="670"/>
      <c r="F34" s="629" t="s">
        <v>998</v>
      </c>
      <c r="G34" s="207" t="s">
        <v>726</v>
      </c>
      <c r="H34" s="454">
        <f>IF(VLOOKUP($B:$B,일위!$I:$O,3,FALSE)=0,"",VLOOKUP($B:$B,일위!$I:$O,3,FALSE))</f>
        <v>8382</v>
      </c>
      <c r="I34" s="454">
        <f>IF(VLOOKUP($B:$B,일위!$I:$O,5,FALSE)=0,"",VLOOKUP($B:$B,일위!$I:$O,5,FALSE))</f>
        <v>15610</v>
      </c>
      <c r="J34" s="454" t="str">
        <f>IF(VLOOKUP($B:$B,일위!$I:$O,7,FALSE)=0,"",VLOOKUP($B:$B,일위!$I:$O,7,FALSE))</f>
        <v/>
      </c>
      <c r="K34" s="216">
        <f t="shared" si="30"/>
        <v>23992</v>
      </c>
      <c r="L34" s="455" t="str">
        <f t="shared" ref="L34:L39" si="31">"제"&amp;B34&amp;"호표"</f>
        <v>제28호표</v>
      </c>
      <c r="M34" s="455"/>
      <c r="Q34" s="700" t="e">
        <f>VLOOKUP(A34,내역!I:I,1,FALSE)</f>
        <v>#N/A</v>
      </c>
      <c r="R34" s="700" t="e">
        <f>VLOOKUP(A34,일위!H:H,1,FALSE)</f>
        <v>#N/A</v>
      </c>
    </row>
    <row r="35" spans="1:18" s="700" customFormat="1" ht="19.5" customHeight="1" x14ac:dyDescent="0.15">
      <c r="A35" s="632" t="str">
        <f t="shared" si="29"/>
        <v>석고보드취부(벽)THK=9.5mm * 1PLY㎡</v>
      </c>
      <c r="B35" s="452">
        <f t="shared" si="3"/>
        <v>29</v>
      </c>
      <c r="C35" s="453"/>
      <c r="D35" s="629" t="s">
        <v>999</v>
      </c>
      <c r="E35" s="670"/>
      <c r="F35" s="629" t="s">
        <v>1198</v>
      </c>
      <c r="G35" s="207" t="s">
        <v>726</v>
      </c>
      <c r="H35" s="454">
        <f>IF(VLOOKUP($B:$B,일위!$I:$O,3,FALSE)=0,"",VLOOKUP($B:$B,일위!$I:$O,3,FALSE))</f>
        <v>2671</v>
      </c>
      <c r="I35" s="454">
        <f>IF(VLOOKUP($B:$B,일위!$I:$O,5,FALSE)=0,"",VLOOKUP($B:$B,일위!$I:$O,5,FALSE))</f>
        <v>6995</v>
      </c>
      <c r="J35" s="454" t="str">
        <f>IF(VLOOKUP($B:$B,일위!$I:$O,7,FALSE)=0,"",VLOOKUP($B:$B,일위!$I:$O,7,FALSE))</f>
        <v/>
      </c>
      <c r="K35" s="216">
        <f t="shared" si="30"/>
        <v>9666</v>
      </c>
      <c r="L35" s="455" t="str">
        <f t="shared" si="31"/>
        <v>제29호표</v>
      </c>
      <c r="M35" s="455"/>
      <c r="Q35" s="700" t="e">
        <f>VLOOKUP(A35,내역!I:I,1,FALSE)</f>
        <v>#N/A</v>
      </c>
      <c r="R35" s="700" t="e">
        <f>VLOOKUP(A35,일위!H:H,1,FALSE)</f>
        <v>#N/A</v>
      </c>
    </row>
    <row r="36" spans="1:18" s="700" customFormat="1" ht="19.5" customHeight="1" x14ac:dyDescent="0.15">
      <c r="A36" s="632" t="str">
        <f t="shared" si="29"/>
        <v>석고보드취부(벽)THK=9.5mm * 2PLY㎡</v>
      </c>
      <c r="B36" s="452">
        <f t="shared" si="3"/>
        <v>30</v>
      </c>
      <c r="C36" s="453"/>
      <c r="D36" s="629" t="s">
        <v>999</v>
      </c>
      <c r="E36" s="670"/>
      <c r="F36" s="629" t="s">
        <v>1199</v>
      </c>
      <c r="G36" s="207" t="s">
        <v>726</v>
      </c>
      <c r="H36" s="454">
        <f>IF(VLOOKUP($B:$B,일위!$I:$O,3,FALSE)=0,"",VLOOKUP($B:$B,일위!$I:$O,3,FALSE))</f>
        <v>5668</v>
      </c>
      <c r="I36" s="454">
        <f>IF(VLOOKUP($B:$B,일위!$I:$O,5,FALSE)=0,"",VLOOKUP($B:$B,일위!$I:$O,5,FALSE))</f>
        <v>13991</v>
      </c>
      <c r="J36" s="454" t="str">
        <f>IF(VLOOKUP($B:$B,일위!$I:$O,7,FALSE)=0,"",VLOOKUP($B:$B,일위!$I:$O,7,FALSE))</f>
        <v/>
      </c>
      <c r="K36" s="216">
        <f t="shared" si="30"/>
        <v>19659</v>
      </c>
      <c r="L36" s="455" t="str">
        <f t="shared" si="31"/>
        <v>제30호표</v>
      </c>
      <c r="M36" s="455"/>
      <c r="Q36" s="700" t="str">
        <f>VLOOKUP(A36,내역!I:I,1,FALSE)</f>
        <v>석고보드취부(벽)THK=9.5mm * 2PLY㎡</v>
      </c>
      <c r="R36" s="700" t="e">
        <f>VLOOKUP(A36,일위!H:H,1,FALSE)</f>
        <v>#N/A</v>
      </c>
    </row>
    <row r="37" spans="1:18" s="700" customFormat="1" ht="19.5" customHeight="1" x14ac:dyDescent="0.15">
      <c r="A37" s="632" t="str">
        <f t="shared" si="29"/>
        <v>석고보드취부(천정)THK=9.5mm * 2PLY㎡</v>
      </c>
      <c r="B37" s="452">
        <f t="shared" si="3"/>
        <v>31</v>
      </c>
      <c r="C37" s="453"/>
      <c r="D37" s="629" t="s">
        <v>1000</v>
      </c>
      <c r="E37" s="670"/>
      <c r="F37" s="629" t="s">
        <v>1199</v>
      </c>
      <c r="G37" s="207" t="s">
        <v>726</v>
      </c>
      <c r="H37" s="454">
        <f>IF(VLOOKUP($B:$B,일위!$I:$O,3,FALSE)=0,"",VLOOKUP($B:$B,일위!$I:$O,3,FALSE))</f>
        <v>5710</v>
      </c>
      <c r="I37" s="454">
        <f>IF(VLOOKUP($B:$B,일위!$I:$O,5,FALSE)=0,"",VLOOKUP($B:$B,일위!$I:$O,5,FALSE))</f>
        <v>18188</v>
      </c>
      <c r="J37" s="454" t="str">
        <f>IF(VLOOKUP($B:$B,일위!$I:$O,7,FALSE)=0,"",VLOOKUP($B:$B,일위!$I:$O,7,FALSE))</f>
        <v/>
      </c>
      <c r="K37" s="216">
        <f t="shared" si="30"/>
        <v>23898</v>
      </c>
      <c r="L37" s="455" t="str">
        <f t="shared" si="31"/>
        <v>제31호표</v>
      </c>
      <c r="M37" s="455"/>
      <c r="Q37" s="700" t="e">
        <f>VLOOKUP(A37,내역!I:I,1,FALSE)</f>
        <v>#N/A</v>
      </c>
      <c r="R37" s="700" t="e">
        <f>VLOOKUP(A37,일위!H:H,1,FALSE)</f>
        <v>#N/A</v>
      </c>
    </row>
    <row r="38" spans="1:18" s="700" customFormat="1" ht="19.5" customHeight="1" x14ac:dyDescent="0.15">
      <c r="A38" s="632" t="str">
        <f t="shared" ref="A38:A54" si="32">CONCATENATE(D38,F38,G38)</f>
        <v>인조대리석 상판시공THK=12mm, 하이막스, 화이트칩㎡</v>
      </c>
      <c r="B38" s="452">
        <f t="shared" si="3"/>
        <v>32</v>
      </c>
      <c r="C38" s="453"/>
      <c r="D38" s="629" t="s">
        <v>1277</v>
      </c>
      <c r="E38" s="670"/>
      <c r="F38" s="629" t="s">
        <v>1340</v>
      </c>
      <c r="G38" s="207" t="s">
        <v>726</v>
      </c>
      <c r="H38" s="454">
        <f>IF(VLOOKUP($B:$B,일위!$I:$O,3,FALSE)=0,"",VLOOKUP($B:$B,일위!$I:$O,3,FALSE))</f>
        <v>169950</v>
      </c>
      <c r="I38" s="454">
        <f>IF(VLOOKUP($B:$B,일위!$I:$O,5,FALSE)=0,"",VLOOKUP($B:$B,일위!$I:$O,5,FALSE))</f>
        <v>109000</v>
      </c>
      <c r="J38" s="454" t="str">
        <f>IF(VLOOKUP($B:$B,일위!$I:$O,7,FALSE)=0,"",VLOOKUP($B:$B,일위!$I:$O,7,FALSE))</f>
        <v/>
      </c>
      <c r="K38" s="216">
        <f t="shared" ref="K38:K41" si="33">SUM(H38:J38)</f>
        <v>278950</v>
      </c>
      <c r="L38" s="455" t="str">
        <f t="shared" si="31"/>
        <v>제32호표</v>
      </c>
      <c r="M38" s="455"/>
      <c r="Q38" s="700" t="str">
        <f>VLOOKUP(A38,내역!I:I,1,FALSE)</f>
        <v>인조대리석 상판시공THK=12mm, 하이막스, 화이트칩㎡</v>
      </c>
      <c r="R38" s="700" t="e">
        <f>VLOOKUP(A38,일위!H:H,1,FALSE)</f>
        <v>#N/A</v>
      </c>
    </row>
    <row r="39" spans="1:18" s="700" customFormat="1" ht="19.5" customHeight="1" x14ac:dyDescent="0.15">
      <c r="A39" s="632" t="str">
        <f t="shared" si="32"/>
        <v>인조대리석 측벽시공THK=12mm, 하이막스, 화이트칩㎡</v>
      </c>
      <c r="B39" s="452">
        <f t="shared" si="3"/>
        <v>33</v>
      </c>
      <c r="C39" s="453"/>
      <c r="D39" s="629" t="s">
        <v>1278</v>
      </c>
      <c r="E39" s="670"/>
      <c r="F39" s="629" t="s">
        <v>1340</v>
      </c>
      <c r="G39" s="207" t="s">
        <v>350</v>
      </c>
      <c r="H39" s="454">
        <f>IF(VLOOKUP($B:$B,일위!$I:$O,3,FALSE)=0,"",VLOOKUP($B:$B,일위!$I:$O,3,FALSE))</f>
        <v>169950</v>
      </c>
      <c r="I39" s="454">
        <f>IF(VLOOKUP($B:$B,일위!$I:$O,5,FALSE)=0,"",VLOOKUP($B:$B,일위!$I:$O,5,FALSE))</f>
        <v>159000</v>
      </c>
      <c r="J39" s="454" t="str">
        <f>IF(VLOOKUP($B:$B,일위!$I:$O,7,FALSE)=0,"",VLOOKUP($B:$B,일위!$I:$O,7,FALSE))</f>
        <v/>
      </c>
      <c r="K39" s="216">
        <f t="shared" si="33"/>
        <v>328950</v>
      </c>
      <c r="L39" s="455" t="str">
        <f t="shared" si="31"/>
        <v>제33호표</v>
      </c>
      <c r="M39" s="455"/>
      <c r="Q39" s="700" t="str">
        <f>VLOOKUP(A39,내역!I:I,1,FALSE)</f>
        <v>인조대리석 측벽시공THK=12mm, 하이막스, 화이트칩㎡</v>
      </c>
      <c r="R39" s="700" t="e">
        <f>VLOOKUP(A39,일위!H:H,1,FALSE)</f>
        <v>#N/A</v>
      </c>
    </row>
    <row r="40" spans="1:18" s="700" customFormat="1" ht="19.5" customHeight="1" x14ac:dyDescent="0.15">
      <c r="A40" s="632" t="str">
        <f>CONCATENATE(D40,F40,G40)</f>
        <v>인테리어 필름 붙임몰딩,프레임, W=400미만㎡</v>
      </c>
      <c r="B40" s="452">
        <f t="shared" si="3"/>
        <v>34</v>
      </c>
      <c r="C40" s="453"/>
      <c r="D40" s="601" t="s">
        <v>973</v>
      </c>
      <c r="E40" s="632"/>
      <c r="F40" s="602" t="s">
        <v>1356</v>
      </c>
      <c r="G40" s="820" t="s">
        <v>350</v>
      </c>
      <c r="H40" s="454">
        <f>IF(VLOOKUP($B:$B,일위!$I:$O,3,FALSE)=0,"",VLOOKUP($B:$B,일위!$I:$O,3,FALSE))</f>
        <v>47262</v>
      </c>
      <c r="I40" s="454">
        <f>IF(VLOOKUP($B:$B,일위!$I:$O,5,FALSE)=0,"",VLOOKUP($B:$B,일위!$I:$O,5,FALSE))</f>
        <v>6271</v>
      </c>
      <c r="J40" s="454" t="str">
        <f>IF(VLOOKUP($B:$B,일위!$I:$O,7,FALSE)=0,"",VLOOKUP($B:$B,일위!$I:$O,7,FALSE))</f>
        <v/>
      </c>
      <c r="K40" s="216">
        <f t="shared" si="33"/>
        <v>53533</v>
      </c>
      <c r="L40" s="455" t="str">
        <f>"제"&amp;B40&amp;"호표"</f>
        <v>제34호표</v>
      </c>
      <c r="M40" s="455"/>
      <c r="Q40" s="700" t="str">
        <f>VLOOKUP(A40,내역!I:I,1,FALSE)</f>
        <v>인테리어 필름 붙임몰딩,프레임, W=400미만㎡</v>
      </c>
      <c r="R40" s="700" t="e">
        <f>VLOOKUP(A40,일위!H:H,1,FALSE)</f>
        <v>#N/A</v>
      </c>
    </row>
    <row r="41" spans="1:18" s="700" customFormat="1" ht="19.5" customHeight="1" x14ac:dyDescent="0.15">
      <c r="A41" s="632" t="str">
        <f>CONCATENATE(D41,F41,G41)</f>
        <v>인테리어 필름 붙임넓은면, W=400이상㎡</v>
      </c>
      <c r="B41" s="452">
        <f t="shared" si="3"/>
        <v>35</v>
      </c>
      <c r="C41" s="453"/>
      <c r="D41" s="601" t="s">
        <v>1001</v>
      </c>
      <c r="E41" s="632"/>
      <c r="F41" s="602" t="s">
        <v>1431</v>
      </c>
      <c r="G41" s="820" t="s">
        <v>350</v>
      </c>
      <c r="H41" s="454">
        <f>IF(VLOOKUP($B:$B,일위!$I:$O,3,FALSE)=0,"",VLOOKUP($B:$B,일위!$I:$O,3,FALSE))</f>
        <v>40262</v>
      </c>
      <c r="I41" s="454">
        <f>IF(VLOOKUP($B:$B,일위!$I:$O,5,FALSE)=0,"",VLOOKUP($B:$B,일위!$I:$O,5,FALSE))</f>
        <v>6271</v>
      </c>
      <c r="J41" s="454" t="str">
        <f>IF(VLOOKUP($B:$B,일위!$I:$O,7,FALSE)=0,"",VLOOKUP($B:$B,일위!$I:$O,7,FALSE))</f>
        <v/>
      </c>
      <c r="K41" s="216">
        <f t="shared" si="33"/>
        <v>46533</v>
      </c>
      <c r="L41" s="455" t="str">
        <f>"제"&amp;B41&amp;"호표"</f>
        <v>제35호표</v>
      </c>
      <c r="M41" s="455"/>
      <c r="Q41" s="700" t="str">
        <f>VLOOKUP(A41,내역!I:I,1,FALSE)</f>
        <v>인테리어 필름 붙임넓은면, W=400이상㎡</v>
      </c>
      <c r="R41" s="700" t="e">
        <f>VLOOKUP(A41,일위!H:H,1,FALSE)</f>
        <v>#N/A</v>
      </c>
    </row>
    <row r="42" spans="1:18" s="700" customFormat="1" ht="19.5" customHeight="1" x14ac:dyDescent="0.15">
      <c r="A42" s="632" t="str">
        <f t="shared" si="32"/>
        <v>LINE PUTTY(벽체)석고보드면, 합판면㎡</v>
      </c>
      <c r="B42" s="452">
        <f t="shared" si="3"/>
        <v>36</v>
      </c>
      <c r="C42" s="453"/>
      <c r="D42" s="629" t="s">
        <v>970</v>
      </c>
      <c r="E42" s="670"/>
      <c r="F42" s="629" t="s">
        <v>744</v>
      </c>
      <c r="G42" s="207" t="s">
        <v>726</v>
      </c>
      <c r="H42" s="454">
        <f>IF(VLOOKUP($B:$B,일위!$I:$O,3,FALSE)=0,"",VLOOKUP($B:$B,일위!$I:$O,3,FALSE))</f>
        <v>1762</v>
      </c>
      <c r="I42" s="454">
        <f>IF(VLOOKUP($B:$B,일위!$I:$O,5,FALSE)=0,"",VLOOKUP($B:$B,일위!$I:$O,5,FALSE))</f>
        <v>6271</v>
      </c>
      <c r="J42" s="454" t="str">
        <f>IF(VLOOKUP($B:$B,일위!$I:$O,7,FALSE)=0,"",VLOOKUP($B:$B,일위!$I:$O,7,FALSE))</f>
        <v/>
      </c>
      <c r="K42" s="216">
        <f t="shared" ref="K42:K45" si="34">SUM(H42:J42)</f>
        <v>8033</v>
      </c>
      <c r="L42" s="455" t="str">
        <f>"제"&amp;B42&amp;"호표"</f>
        <v>제36호표</v>
      </c>
      <c r="M42" s="455"/>
      <c r="Q42" s="700" t="e">
        <f>VLOOKUP(A42,내역!I:I,1,FALSE)</f>
        <v>#N/A</v>
      </c>
      <c r="R42" s="700" t="str">
        <f>VLOOKUP(A42,일위!H:H,1,FALSE)</f>
        <v>LINE PUTTY(벽체)석고보드면, 합판면㎡</v>
      </c>
    </row>
    <row r="43" spans="1:18" s="700" customFormat="1" ht="19.5" customHeight="1" x14ac:dyDescent="0.15">
      <c r="A43" s="632" t="str">
        <f t="shared" si="32"/>
        <v>ALL PUTTY(벽체)석고보드면, 합판면㎡</v>
      </c>
      <c r="B43" s="452">
        <f t="shared" si="3"/>
        <v>37</v>
      </c>
      <c r="C43" s="453"/>
      <c r="D43" s="629" t="s">
        <v>1002</v>
      </c>
      <c r="E43" s="670"/>
      <c r="F43" s="629" t="s">
        <v>744</v>
      </c>
      <c r="G43" s="207" t="s">
        <v>726</v>
      </c>
      <c r="H43" s="454">
        <f>IF(VLOOKUP($B:$B,일위!$I:$O,3,FALSE)=0,"",VLOOKUP($B:$B,일위!$I:$O,3,FALSE))</f>
        <v>2130</v>
      </c>
      <c r="I43" s="454">
        <f>IF(VLOOKUP($B:$B,일위!$I:$O,5,FALSE)=0,"",VLOOKUP($B:$B,일위!$I:$O,5,FALSE))</f>
        <v>11734</v>
      </c>
      <c r="J43" s="454" t="str">
        <f>IF(VLOOKUP($B:$B,일위!$I:$O,7,FALSE)=0,"",VLOOKUP($B:$B,일위!$I:$O,7,FALSE))</f>
        <v/>
      </c>
      <c r="K43" s="216">
        <f t="shared" si="34"/>
        <v>13864</v>
      </c>
      <c r="L43" s="455" t="str">
        <f t="shared" ref="L43:L52" si="35">"제"&amp;B43&amp;"호표"</f>
        <v>제37호표</v>
      </c>
      <c r="M43" s="455"/>
      <c r="Q43" s="700" t="str">
        <f>VLOOKUP(A43,내역!I:I,1,FALSE)</f>
        <v>ALL PUTTY(벽체)석고보드면, 합판면㎡</v>
      </c>
      <c r="R43" s="700" t="e">
        <f>VLOOKUP(A43,일위!H:H,1,FALSE)</f>
        <v>#N/A</v>
      </c>
    </row>
    <row r="44" spans="1:18" s="700" customFormat="1" ht="19.5" customHeight="1" x14ac:dyDescent="0.15">
      <c r="A44" s="632" t="str">
        <f t="shared" si="32"/>
        <v>ALL PUTTY(천정)석고보드면, 합판면㎡</v>
      </c>
      <c r="B44" s="452">
        <f t="shared" si="3"/>
        <v>38</v>
      </c>
      <c r="C44" s="453"/>
      <c r="D44" s="629" t="s">
        <v>1257</v>
      </c>
      <c r="E44" s="670"/>
      <c r="F44" s="629" t="s">
        <v>744</v>
      </c>
      <c r="G44" s="207" t="s">
        <v>726</v>
      </c>
      <c r="H44" s="454">
        <f>IF(VLOOKUP($B:$B,일위!$I:$O,3,FALSE)=0,"",VLOOKUP($B:$B,일위!$I:$O,3,FALSE))</f>
        <v>2177</v>
      </c>
      <c r="I44" s="454">
        <f>IF(VLOOKUP($B:$B,일위!$I:$O,5,FALSE)=0,"",VLOOKUP($B:$B,일위!$I:$O,5,FALSE))</f>
        <v>14080</v>
      </c>
      <c r="J44" s="454" t="str">
        <f>IF(VLOOKUP($B:$B,일위!$I:$O,7,FALSE)=0,"",VLOOKUP($B:$B,일위!$I:$O,7,FALSE))</f>
        <v/>
      </c>
      <c r="K44" s="216">
        <f t="shared" si="34"/>
        <v>16257</v>
      </c>
      <c r="L44" s="455" t="str">
        <f>"제"&amp;B44&amp;"호표"</f>
        <v>제38호표</v>
      </c>
      <c r="M44" s="455"/>
      <c r="Q44" s="700" t="e">
        <f>VLOOKUP(A44,내역!I:I,1,FALSE)</f>
        <v>#N/A</v>
      </c>
      <c r="R44" s="700" t="e">
        <f>VLOOKUP(A44,일위!H:H,1,FALSE)</f>
        <v>#N/A</v>
      </c>
    </row>
    <row r="45" spans="1:18" s="700" customFormat="1" ht="19.5" customHeight="1" x14ac:dyDescent="0.15">
      <c r="A45" s="632" t="str">
        <f t="shared" si="32"/>
        <v>LINE PUTTY철재면㎡</v>
      </c>
      <c r="B45" s="452">
        <f t="shared" si="3"/>
        <v>39</v>
      </c>
      <c r="C45" s="453"/>
      <c r="D45" s="629" t="s">
        <v>745</v>
      </c>
      <c r="E45" s="670"/>
      <c r="F45" s="629" t="s">
        <v>743</v>
      </c>
      <c r="G45" s="207" t="s">
        <v>726</v>
      </c>
      <c r="H45" s="454">
        <f>IF(VLOOKUP($B:$B,일위!$I:$O,3,FALSE)=0,"",VLOOKUP($B:$B,일위!$I:$O,3,FALSE))</f>
        <v>12385</v>
      </c>
      <c r="I45" s="454">
        <f>IF(VLOOKUP($B:$B,일위!$I:$O,5,FALSE)=0,"",VLOOKUP($B:$B,일위!$I:$O,5,FALSE))</f>
        <v>12338</v>
      </c>
      <c r="J45" s="454" t="str">
        <f>IF(VLOOKUP($B:$B,일위!$I:$O,7,FALSE)=0,"",VLOOKUP($B:$B,일위!$I:$O,7,FALSE))</f>
        <v/>
      </c>
      <c r="K45" s="216">
        <f t="shared" si="34"/>
        <v>24723</v>
      </c>
      <c r="L45" s="455" t="str">
        <f t="shared" si="35"/>
        <v>제39호표</v>
      </c>
      <c r="M45" s="455"/>
      <c r="Q45" s="700" t="e">
        <f>VLOOKUP(A45,내역!I:I,1,FALSE)</f>
        <v>#N/A</v>
      </c>
      <c r="R45" s="700" t="str">
        <f>VLOOKUP(A45,일위!H:H,1,FALSE)</f>
        <v>LINE PUTTY철재면㎡</v>
      </c>
    </row>
    <row r="46" spans="1:18" s="700" customFormat="1" ht="19.5" customHeight="1" x14ac:dyDescent="0.15">
      <c r="A46" s="632" t="str">
        <f t="shared" si="32"/>
        <v>도장작업시보양작업㎡</v>
      </c>
      <c r="B46" s="452">
        <f t="shared" si="3"/>
        <v>40</v>
      </c>
      <c r="C46" s="453"/>
      <c r="D46" s="629" t="s">
        <v>746</v>
      </c>
      <c r="E46" s="670"/>
      <c r="F46" s="629"/>
      <c r="G46" s="207" t="s">
        <v>726</v>
      </c>
      <c r="H46" s="454">
        <f>IF(VLOOKUP($B:$B,일위!$I:$O,3,FALSE)=0,"",VLOOKUP($B:$B,일위!$I:$O,3,FALSE))</f>
        <v>1384</v>
      </c>
      <c r="I46" s="454">
        <f>IF(VLOOKUP($B:$B,일위!$I:$O,5,FALSE)=0,"",VLOOKUP($B:$B,일위!$I:$O,5,FALSE))</f>
        <v>1602</v>
      </c>
      <c r="J46" s="454" t="str">
        <f>IF(VLOOKUP($B:$B,일위!$I:$O,7,FALSE)=0,"",VLOOKUP($B:$B,일위!$I:$O,7,FALSE))</f>
        <v/>
      </c>
      <c r="K46" s="216">
        <f t="shared" ref="K46:K54" si="36">SUM(H46:J46)</f>
        <v>2986</v>
      </c>
      <c r="L46" s="455" t="str">
        <f t="shared" si="35"/>
        <v>제40호표</v>
      </c>
      <c r="M46" s="455"/>
      <c r="Q46" s="700" t="e">
        <f>VLOOKUP(A46,내역!I:I,1,FALSE)</f>
        <v>#N/A</v>
      </c>
      <c r="R46" s="700" t="str">
        <f>VLOOKUP(A46,일위!H:H,1,FALSE)</f>
        <v>도장작업시보양작업㎡</v>
      </c>
    </row>
    <row r="47" spans="1:18" s="700" customFormat="1" ht="19.5" customHeight="1" x14ac:dyDescent="0.15">
      <c r="A47" s="632" t="str">
        <f t="shared" si="32"/>
        <v>녹막이페인트벽체2회㎡</v>
      </c>
      <c r="B47" s="452">
        <f t="shared" si="3"/>
        <v>41</v>
      </c>
      <c r="C47" s="453"/>
      <c r="D47" s="629" t="s">
        <v>862</v>
      </c>
      <c r="E47" s="670"/>
      <c r="F47" s="629" t="s">
        <v>863</v>
      </c>
      <c r="G47" s="207" t="s">
        <v>726</v>
      </c>
      <c r="H47" s="454">
        <f>IF(VLOOKUP($B:$B,일위!$I:$O,3,FALSE)=0,"",VLOOKUP($B:$B,일위!$I:$O,3,FALSE))</f>
        <v>1010</v>
      </c>
      <c r="I47" s="454">
        <f>IF(VLOOKUP($B:$B,일위!$I:$O,5,FALSE)=0,"",VLOOKUP($B:$B,일위!$I:$O,5,FALSE))</f>
        <v>5100</v>
      </c>
      <c r="J47" s="454" t="str">
        <f>IF(VLOOKUP($B:$B,일위!$I:$O,7,FALSE)=0,"",VLOOKUP($B:$B,일위!$I:$O,7,FALSE))</f>
        <v/>
      </c>
      <c r="K47" s="216">
        <f t="shared" si="36"/>
        <v>6110</v>
      </c>
      <c r="L47" s="455" t="str">
        <f t="shared" si="35"/>
        <v>제41호표</v>
      </c>
      <c r="M47" s="455"/>
      <c r="Q47" s="700" t="e">
        <f>VLOOKUP(A47,내역!I:I,1,FALSE)</f>
        <v>#N/A</v>
      </c>
      <c r="R47" s="700" t="str">
        <f>VLOOKUP(A47,일위!H:H,1,FALSE)</f>
        <v>녹막이페인트벽체2회㎡</v>
      </c>
    </row>
    <row r="48" spans="1:18" s="700" customFormat="1" ht="19.5" customHeight="1" x14ac:dyDescent="0.15">
      <c r="A48" s="632" t="str">
        <f t="shared" si="32"/>
        <v>칼라락카목재면기준㎡</v>
      </c>
      <c r="B48" s="452">
        <f t="shared" si="3"/>
        <v>42</v>
      </c>
      <c r="C48" s="453"/>
      <c r="D48" s="629" t="s">
        <v>747</v>
      </c>
      <c r="E48" s="670"/>
      <c r="F48" s="629" t="s">
        <v>1003</v>
      </c>
      <c r="G48" s="207" t="s">
        <v>726</v>
      </c>
      <c r="H48" s="454">
        <f>IF(VLOOKUP($B:$B,일위!$I:$O,3,FALSE)=0,"",VLOOKUP($B:$B,일위!$I:$O,3,FALSE))</f>
        <v>9287</v>
      </c>
      <c r="I48" s="454">
        <f>IF(VLOOKUP($B:$B,일위!$I:$O,5,FALSE)=0,"",VLOOKUP($B:$B,일위!$I:$O,5,FALSE))</f>
        <v>53632</v>
      </c>
      <c r="J48" s="454" t="str">
        <f>IF(VLOOKUP($B:$B,일위!$I:$O,7,FALSE)=0,"",VLOOKUP($B:$B,일위!$I:$O,7,FALSE))</f>
        <v/>
      </c>
      <c r="K48" s="216">
        <f t="shared" si="36"/>
        <v>62919</v>
      </c>
      <c r="L48" s="455" t="str">
        <f t="shared" si="35"/>
        <v>제42호표</v>
      </c>
      <c r="M48" s="455"/>
      <c r="Q48" s="700" t="str">
        <f>VLOOKUP(A48,내역!I:I,1,FALSE)</f>
        <v>칼라락카목재면기준㎡</v>
      </c>
      <c r="R48" s="700" t="e">
        <f>VLOOKUP(A48,일위!H:H,1,FALSE)</f>
        <v>#N/A</v>
      </c>
    </row>
    <row r="49" spans="1:18" s="700" customFormat="1" ht="19.5" customHeight="1" x14ac:dyDescent="0.15">
      <c r="A49" s="632" t="str">
        <f t="shared" si="32"/>
        <v>칼라락카철재면기준㎡</v>
      </c>
      <c r="B49" s="452">
        <f t="shared" si="3"/>
        <v>43</v>
      </c>
      <c r="C49" s="453"/>
      <c r="D49" s="629" t="s">
        <v>747</v>
      </c>
      <c r="E49" s="670"/>
      <c r="F49" s="629" t="s">
        <v>748</v>
      </c>
      <c r="G49" s="207" t="s">
        <v>726</v>
      </c>
      <c r="H49" s="454">
        <f>IF(VLOOKUP($B:$B,일위!$I:$O,3,FALSE)=0,"",VLOOKUP($B:$B,일위!$I:$O,3,FALSE))</f>
        <v>10204</v>
      </c>
      <c r="I49" s="454">
        <f>IF(VLOOKUP($B:$B,일위!$I:$O,5,FALSE)=0,"",VLOOKUP($B:$B,일위!$I:$O,5,FALSE))</f>
        <v>61065</v>
      </c>
      <c r="J49" s="454" t="str">
        <f>IF(VLOOKUP($B:$B,일위!$I:$O,7,FALSE)=0,"",VLOOKUP($B:$B,일위!$I:$O,7,FALSE))</f>
        <v/>
      </c>
      <c r="K49" s="216">
        <f t="shared" si="36"/>
        <v>71269</v>
      </c>
      <c r="L49" s="455" t="str">
        <f t="shared" si="35"/>
        <v>제43호표</v>
      </c>
      <c r="M49" s="455"/>
      <c r="Q49" s="700" t="e">
        <f>VLOOKUP(A49,내역!I:I,1,FALSE)</f>
        <v>#N/A</v>
      </c>
      <c r="R49" s="700" t="str">
        <f>VLOOKUP(A49,일위!H:H,1,FALSE)</f>
        <v>칼라락카철재면기준㎡</v>
      </c>
    </row>
    <row r="50" spans="1:18" s="700" customFormat="1" ht="19.5" customHeight="1" x14ac:dyDescent="0.15">
      <c r="A50" s="632" t="str">
        <f>CONCATENATE(D50,F50,G50)</f>
        <v>투명락카목재면기준㎡</v>
      </c>
      <c r="B50" s="452">
        <f t="shared" si="3"/>
        <v>44</v>
      </c>
      <c r="C50" s="453"/>
      <c r="D50" s="629" t="s">
        <v>1004</v>
      </c>
      <c r="E50" s="670"/>
      <c r="F50" s="629" t="s">
        <v>1003</v>
      </c>
      <c r="G50" s="207" t="s">
        <v>726</v>
      </c>
      <c r="H50" s="454">
        <f>IF(VLOOKUP($B:$B,일위!$I:$O,3,FALSE)=0,"",VLOOKUP($B:$B,일위!$I:$O,3,FALSE))</f>
        <v>7122</v>
      </c>
      <c r="I50" s="454">
        <f>IF(VLOOKUP($B:$B,일위!$I:$O,5,FALSE)=0,"",VLOOKUP($B:$B,일위!$I:$O,5,FALSE))</f>
        <v>59579</v>
      </c>
      <c r="J50" s="454" t="str">
        <f>IF(VLOOKUP($B:$B,일위!$I:$O,7,FALSE)=0,"",VLOOKUP($B:$B,일위!$I:$O,7,FALSE))</f>
        <v/>
      </c>
      <c r="K50" s="216">
        <f>SUM(H50:J50)</f>
        <v>66701</v>
      </c>
      <c r="L50" s="455" t="str">
        <f>"제"&amp;B50&amp;"호표"</f>
        <v>제44호표</v>
      </c>
      <c r="M50" s="455"/>
      <c r="Q50" s="700" t="e">
        <f>VLOOKUP(A50,내역!I:I,1,FALSE)</f>
        <v>#N/A</v>
      </c>
      <c r="R50" s="700" t="e">
        <f>VLOOKUP(A50,일위!H:H,1,FALSE)</f>
        <v>#N/A</v>
      </c>
    </row>
    <row r="51" spans="1:18" s="700" customFormat="1" ht="19.5" customHeight="1" x14ac:dyDescent="0.15">
      <c r="A51" s="632" t="str">
        <f t="shared" si="32"/>
        <v>수성페인트(로울러)내벽3회㎡</v>
      </c>
      <c r="B51" s="452">
        <f t="shared" si="3"/>
        <v>45</v>
      </c>
      <c r="C51" s="453"/>
      <c r="D51" s="629" t="s">
        <v>1005</v>
      </c>
      <c r="E51" s="456"/>
      <c r="F51" s="629" t="s">
        <v>578</v>
      </c>
      <c r="G51" s="207" t="s">
        <v>726</v>
      </c>
      <c r="H51" s="454">
        <f>IF(VLOOKUP($B:$B,일위!$I:$O,3,FALSE)=0,"",VLOOKUP($B:$B,일위!$I:$O,3,FALSE))</f>
        <v>2458</v>
      </c>
      <c r="I51" s="454">
        <f>IF(VLOOKUP($B:$B,일위!$I:$O,5,FALSE)=0,"",VLOOKUP($B:$B,일위!$I:$O,5,FALSE))</f>
        <v>9293</v>
      </c>
      <c r="J51" s="454" t="str">
        <f>IF(VLOOKUP($B:$B,일위!$I:$O,7,FALSE)=0,"",VLOOKUP($B:$B,일위!$I:$O,7,FALSE))</f>
        <v/>
      </c>
      <c r="K51" s="216">
        <f t="shared" si="36"/>
        <v>11751</v>
      </c>
      <c r="L51" s="455" t="str">
        <f t="shared" si="35"/>
        <v>제45호표</v>
      </c>
      <c r="M51" s="455"/>
      <c r="Q51" s="700" t="str">
        <f>VLOOKUP(A51,내역!I:I,1,FALSE)</f>
        <v>수성페인트(로울러)내벽3회㎡</v>
      </c>
      <c r="R51" s="700" t="e">
        <f>VLOOKUP(A51,일위!H:H,1,FALSE)</f>
        <v>#N/A</v>
      </c>
    </row>
    <row r="52" spans="1:18" s="700" customFormat="1" ht="19.5" customHeight="1" x14ac:dyDescent="0.15">
      <c r="A52" s="632" t="str">
        <f t="shared" si="32"/>
        <v>수성페인트(로울러)내부천정3회㎡</v>
      </c>
      <c r="B52" s="452">
        <f t="shared" si="3"/>
        <v>46</v>
      </c>
      <c r="C52" s="453"/>
      <c r="D52" s="629" t="s">
        <v>1005</v>
      </c>
      <c r="E52" s="456"/>
      <c r="F52" s="629" t="s">
        <v>577</v>
      </c>
      <c r="G52" s="207" t="s">
        <v>726</v>
      </c>
      <c r="H52" s="454">
        <f>IF(VLOOKUP($B:$B,일위!$I:$O,3,FALSE)=0,"",VLOOKUP($B:$B,일위!$I:$O,3,FALSE))</f>
        <v>2461</v>
      </c>
      <c r="I52" s="454">
        <f>IF(VLOOKUP($B:$B,일위!$I:$O,5,FALSE)=0,"",VLOOKUP($B:$B,일위!$I:$O,5,FALSE))</f>
        <v>10832</v>
      </c>
      <c r="J52" s="454" t="str">
        <f>IF(VLOOKUP($B:$B,일위!$I:$O,7,FALSE)=0,"",VLOOKUP($B:$B,일위!$I:$O,7,FALSE))</f>
        <v/>
      </c>
      <c r="K52" s="216">
        <f t="shared" si="36"/>
        <v>13293</v>
      </c>
      <c r="L52" s="455" t="str">
        <f t="shared" si="35"/>
        <v>제46호표</v>
      </c>
      <c r="M52" s="455"/>
      <c r="Q52" s="700" t="e">
        <f>VLOOKUP(A52,내역!I:I,1,FALSE)</f>
        <v>#N/A</v>
      </c>
      <c r="R52" s="700" t="e">
        <f>VLOOKUP(A52,일위!H:H,1,FALSE)</f>
        <v>#N/A</v>
      </c>
    </row>
    <row r="53" spans="1:18" s="700" customFormat="1" ht="19.5" customHeight="1" x14ac:dyDescent="0.15">
      <c r="A53" s="632" t="str">
        <f t="shared" si="32"/>
        <v>유리끼우기THK=10mm 미만㎡</v>
      </c>
      <c r="B53" s="452">
        <f t="shared" si="3"/>
        <v>47</v>
      </c>
      <c r="C53" s="453"/>
      <c r="D53" s="629" t="s">
        <v>1006</v>
      </c>
      <c r="E53" s="670"/>
      <c r="F53" s="629" t="s">
        <v>1040</v>
      </c>
      <c r="G53" s="207" t="s">
        <v>350</v>
      </c>
      <c r="H53" s="454">
        <f>IF(VLOOKUP($B:$B,일위!$I:$O,3,FALSE)=0,"",VLOOKUP($B:$B,일위!$I:$O,3,FALSE))</f>
        <v>1500</v>
      </c>
      <c r="I53" s="454">
        <f>IF(VLOOKUP($B:$B,일위!$I:$O,5,FALSE)=0,"",VLOOKUP($B:$B,일위!$I:$O,5,FALSE))</f>
        <v>15742</v>
      </c>
      <c r="J53" s="454" t="str">
        <f>IF(VLOOKUP($B:$B,일위!$I:$O,7,FALSE)=0,"",VLOOKUP($B:$B,일위!$I:$O,7,FALSE))</f>
        <v/>
      </c>
      <c r="K53" s="216">
        <f>SUM(H53:J53)</f>
        <v>17242</v>
      </c>
      <c r="L53" s="455" t="str">
        <f t="shared" ref="L53:L54" si="37">"제"&amp;B53&amp;"호표"</f>
        <v>제47호표</v>
      </c>
      <c r="M53" s="455"/>
      <c r="Q53" s="700" t="e">
        <f>VLOOKUP(A53,내역!I:I,1,FALSE)</f>
        <v>#N/A</v>
      </c>
      <c r="R53" s="700" t="str">
        <f>VLOOKUP(A53,일위!H:H,1,FALSE)</f>
        <v>유리끼우기THK=10mm 미만㎡</v>
      </c>
    </row>
    <row r="54" spans="1:18" s="700" customFormat="1" ht="19.5" customHeight="1" x14ac:dyDescent="0.15">
      <c r="A54" s="632" t="str">
        <f t="shared" si="32"/>
        <v>강화유리THK=8mm㎡</v>
      </c>
      <c r="B54" s="452">
        <f t="shared" si="3"/>
        <v>48</v>
      </c>
      <c r="C54" s="453"/>
      <c r="D54" s="629" t="s">
        <v>949</v>
      </c>
      <c r="E54" s="670"/>
      <c r="F54" s="629" t="s">
        <v>1007</v>
      </c>
      <c r="G54" s="207" t="s">
        <v>726</v>
      </c>
      <c r="H54" s="454">
        <f>IF(VLOOKUP($B:$B,일위!$I:$O,3,FALSE)=0,"",VLOOKUP($B:$B,일위!$I:$O,3,FALSE))</f>
        <v>26447</v>
      </c>
      <c r="I54" s="454">
        <f>IF(VLOOKUP($B:$B,일위!$I:$O,5,FALSE)=0,"",VLOOKUP($B:$B,일위!$I:$O,5,FALSE))</f>
        <v>15742</v>
      </c>
      <c r="J54" s="454" t="str">
        <f>IF(VLOOKUP($B:$B,일위!$I:$O,7,FALSE)=0,"",VLOOKUP($B:$B,일위!$I:$O,7,FALSE))</f>
        <v/>
      </c>
      <c r="K54" s="216">
        <f t="shared" si="36"/>
        <v>42189</v>
      </c>
      <c r="L54" s="455" t="str">
        <f t="shared" si="37"/>
        <v>제48호표</v>
      </c>
      <c r="M54" s="455"/>
      <c r="Q54" s="700" t="str">
        <f>VLOOKUP(A54,내역!I:I,1,FALSE)</f>
        <v>강화유리THK=8mm㎡</v>
      </c>
      <c r="R54" s="700" t="e">
        <f>VLOOKUP(A54,일위!H:H,1,FALSE)</f>
        <v>#N/A</v>
      </c>
    </row>
    <row r="55" spans="1:18" s="700" customFormat="1" ht="19.5" customHeight="1" x14ac:dyDescent="0.15">
      <c r="A55" s="632" t="str">
        <f t="shared" ref="A55:A56" si="38">CONCATENATE(D55,F55,G55)</f>
        <v>DID MULTI MONITOR55" Full-HD,Silm BezelEA</v>
      </c>
      <c r="B55" s="452">
        <f t="shared" si="3"/>
        <v>49</v>
      </c>
      <c r="C55" s="453"/>
      <c r="D55" s="629" t="s">
        <v>1491</v>
      </c>
      <c r="E55" s="670"/>
      <c r="F55" s="629" t="s">
        <v>1493</v>
      </c>
      <c r="G55" s="207" t="s">
        <v>1494</v>
      </c>
      <c r="H55" s="454">
        <f>IF(VLOOKUP($B:$B,일위!$I:$O,3,FALSE)=0,"",VLOOKUP($B:$B,일위!$I:$O,3,FALSE))</f>
        <v>2400000</v>
      </c>
      <c r="I55" s="454">
        <f>IF(VLOOKUP($B:$B,일위!$I:$O,5,FALSE)=0,"",VLOOKUP($B:$B,일위!$I:$O,5,FALSE))</f>
        <v>206389</v>
      </c>
      <c r="J55" s="454" t="str">
        <f>IF(VLOOKUP($B:$B,일위!$I:$O,7,FALSE)=0,"",VLOOKUP($B:$B,일위!$I:$O,7,FALSE))</f>
        <v/>
      </c>
      <c r="K55" s="216">
        <f t="shared" ref="K55:K56" si="39">SUM(H55:J55)</f>
        <v>2606389</v>
      </c>
      <c r="L55" s="455" t="str">
        <f t="shared" ref="L55:L56" si="40">"제"&amp;B55&amp;"호표"</f>
        <v>제49호표</v>
      </c>
      <c r="M55" s="455"/>
      <c r="Q55" s="700" t="str">
        <f>VLOOKUP(A55,내역!I:I,1,FALSE)</f>
        <v>DID MULTI MONITOR55" Full-HD,Silm BezelEA</v>
      </c>
      <c r="R55" s="700" t="str">
        <f>VLOOKUP(A55,일위!H:H,1,FALSE)</f>
        <v>DID MULTI MONITOR55" Full-HD,Silm BezelEA</v>
      </c>
    </row>
    <row r="56" spans="1:18" s="700" customFormat="1" ht="19.5" customHeight="1" x14ac:dyDescent="0.15">
      <c r="A56" s="632" t="str">
        <f t="shared" si="38"/>
        <v>MONITOR BRACKET벽부형, 대형EA</v>
      </c>
      <c r="B56" s="452">
        <f t="shared" si="3"/>
        <v>50</v>
      </c>
      <c r="C56" s="453"/>
      <c r="D56" s="629" t="s">
        <v>1495</v>
      </c>
      <c r="E56" s="670">
        <v>0</v>
      </c>
      <c r="F56" s="629" t="s">
        <v>1496</v>
      </c>
      <c r="G56" s="207" t="s">
        <v>352</v>
      </c>
      <c r="H56" s="454">
        <f>IF(VLOOKUP($B:$B,일위!$I:$O,3,FALSE)=0,"",VLOOKUP($B:$B,일위!$I:$O,3,FALSE))</f>
        <v>220000</v>
      </c>
      <c r="I56" s="454">
        <f>IF(VLOOKUP($B:$B,일위!$I:$O,5,FALSE)=0,"",VLOOKUP($B:$B,일위!$I:$O,5,FALSE))</f>
        <v>141452</v>
      </c>
      <c r="J56" s="454" t="str">
        <f>IF(VLOOKUP($B:$B,일위!$I:$O,7,FALSE)=0,"",VLOOKUP($B:$B,일위!$I:$O,7,FALSE))</f>
        <v/>
      </c>
      <c r="K56" s="216">
        <f t="shared" si="39"/>
        <v>361452</v>
      </c>
      <c r="L56" s="455" t="str">
        <f t="shared" si="40"/>
        <v>제50호표</v>
      </c>
      <c r="M56" s="455"/>
      <c r="Q56" s="700" t="str">
        <f>VLOOKUP(A56,내역!I:I,1,FALSE)</f>
        <v>MONITOR BRACKET벽부형, 대형EA</v>
      </c>
      <c r="R56" s="700" t="str">
        <f>VLOOKUP(A56,일위!H:H,1,FALSE)</f>
        <v>MONITOR BRACKET벽부형, 대형EA</v>
      </c>
    </row>
    <row r="57" spans="1:18" s="700" customFormat="1" ht="19.5" customHeight="1" x14ac:dyDescent="0.15">
      <c r="A57" s="632" t="str">
        <f t="shared" ref="A57" si="41">CONCATENATE(D57,F57,G57)</f>
        <v>CONTROL COMPUTERi7EA</v>
      </c>
      <c r="B57" s="452">
        <f t="shared" si="3"/>
        <v>51</v>
      </c>
      <c r="C57" s="453"/>
      <c r="D57" s="629" t="s">
        <v>1497</v>
      </c>
      <c r="E57" s="670"/>
      <c r="F57" s="629" t="s">
        <v>1498</v>
      </c>
      <c r="G57" s="207" t="s">
        <v>352</v>
      </c>
      <c r="H57" s="454">
        <f>IF(VLOOKUP($B:$B,일위!$I:$O,3,FALSE)=0,"",VLOOKUP($B:$B,일위!$I:$O,3,FALSE))</f>
        <v>950000</v>
      </c>
      <c r="I57" s="454">
        <f>IF(VLOOKUP($B:$B,일위!$I:$O,5,FALSE)=0,"",VLOOKUP($B:$B,일위!$I:$O,5,FALSE))</f>
        <v>55755</v>
      </c>
      <c r="J57" s="454" t="str">
        <f>IF(VLOOKUP($B:$B,일위!$I:$O,7,FALSE)=0,"",VLOOKUP($B:$B,일위!$I:$O,7,FALSE))</f>
        <v/>
      </c>
      <c r="K57" s="216">
        <f t="shared" ref="K57" si="42">SUM(H57:J57)</f>
        <v>1005755</v>
      </c>
      <c r="L57" s="455" t="str">
        <f t="shared" ref="L57" si="43">"제"&amp;B57&amp;"호표"</f>
        <v>제51호표</v>
      </c>
      <c r="M57" s="455"/>
      <c r="Q57" s="700" t="str">
        <f>VLOOKUP(A57,내역!I:I,1,FALSE)</f>
        <v>CONTROL COMPUTERi7EA</v>
      </c>
      <c r="R57" s="700" t="str">
        <f>VLOOKUP(A57,일위!H:H,1,FALSE)</f>
        <v>CONTROL COMPUTERi7EA</v>
      </c>
    </row>
    <row r="58" spans="1:18" s="700" customFormat="1" ht="19.5" customHeight="1" x14ac:dyDescent="0.15">
      <c r="A58" s="632" t="str">
        <f t="shared" ref="A58" si="44">CONCATENATE(D58,F58,G58)</f>
        <v>순차전원공급기8CH, NETWORKEA</v>
      </c>
      <c r="B58" s="452">
        <f t="shared" si="3"/>
        <v>52</v>
      </c>
      <c r="C58" s="453"/>
      <c r="D58" s="629" t="s">
        <v>1526</v>
      </c>
      <c r="E58" s="670"/>
      <c r="F58" s="629" t="s">
        <v>1527</v>
      </c>
      <c r="G58" s="207" t="s">
        <v>352</v>
      </c>
      <c r="H58" s="454">
        <f>IF(VLOOKUP($B:$B,일위!$I:$O,3,FALSE)=0,"",VLOOKUP($B:$B,일위!$I:$O,3,FALSE))</f>
        <v>420000</v>
      </c>
      <c r="I58" s="454">
        <f>IF(VLOOKUP($B:$B,일위!$I:$O,5,FALSE)=0,"",VLOOKUP($B:$B,일위!$I:$O,5,FALSE))</f>
        <v>183140</v>
      </c>
      <c r="J58" s="454" t="str">
        <f>IF(VLOOKUP($B:$B,일위!$I:$O,7,FALSE)=0,"",VLOOKUP($B:$B,일위!$I:$O,7,FALSE))</f>
        <v/>
      </c>
      <c r="K58" s="216">
        <f t="shared" ref="K58" si="45">SUM(H58:J58)</f>
        <v>603140</v>
      </c>
      <c r="L58" s="455" t="str">
        <f t="shared" ref="L58" si="46">"제"&amp;B58&amp;"호표"</f>
        <v>제52호표</v>
      </c>
      <c r="M58" s="455"/>
      <c r="Q58" s="700" t="str">
        <f>VLOOKUP(A58,내역!I:I,1,FALSE)</f>
        <v>순차전원공급기8CH, NETWORKEA</v>
      </c>
      <c r="R58" s="700" t="e">
        <f>VLOOKUP(A58,일위!H:H,1,FALSE)</f>
        <v>#N/A</v>
      </c>
    </row>
    <row r="59" spans="1:18" s="700" customFormat="1" ht="19.5" customHeight="1" x14ac:dyDescent="0.15">
      <c r="A59" s="632" t="str">
        <f t="shared" ref="A59" si="47">CONCATENATE(D59,F59,G59)</f>
        <v>Sequence power switcherEA</v>
      </c>
      <c r="B59" s="452">
        <f t="shared" si="3"/>
        <v>53</v>
      </c>
      <c r="C59" s="453"/>
      <c r="D59" s="629" t="s">
        <v>1528</v>
      </c>
      <c r="E59" s="670"/>
      <c r="F59" s="629"/>
      <c r="G59" s="207" t="s">
        <v>352</v>
      </c>
      <c r="H59" s="454">
        <f>IF(VLOOKUP($B:$B,일위!$I:$O,3,FALSE)=0,"",VLOOKUP($B:$B,일위!$I:$O,3,FALSE))</f>
        <v>450000</v>
      </c>
      <c r="I59" s="454">
        <f>IF(VLOOKUP($B:$B,일위!$I:$O,5,FALSE)=0,"",VLOOKUP($B:$B,일위!$I:$O,5,FALSE))</f>
        <v>99426</v>
      </c>
      <c r="J59" s="454" t="str">
        <f>IF(VLOOKUP($B:$B,일위!$I:$O,7,FALSE)=0,"",VLOOKUP($B:$B,일위!$I:$O,7,FALSE))</f>
        <v/>
      </c>
      <c r="K59" s="216">
        <f t="shared" ref="K59" si="48">SUM(H59:J59)</f>
        <v>549426</v>
      </c>
      <c r="L59" s="455" t="str">
        <f t="shared" ref="L59" si="49">"제"&amp;B59&amp;"호표"</f>
        <v>제53호표</v>
      </c>
      <c r="M59" s="455"/>
      <c r="Q59" s="700" t="str">
        <f>VLOOKUP(A59,내역!I:I,1,FALSE)</f>
        <v>Sequence power switcherEA</v>
      </c>
      <c r="R59" s="700" t="str">
        <f>VLOOKUP(A59,일위!H:H,1,FALSE)</f>
        <v>Sequence power switcherEA</v>
      </c>
    </row>
    <row r="60" spans="1:18" s="700" customFormat="1" ht="19.5" customHeight="1" x14ac:dyDescent="0.15">
      <c r="A60" s="632" t="str">
        <f t="shared" ref="A60" si="50">CONCATENATE(D60,F60,G60)</f>
        <v>BUTTON CONTROLLER제작EA</v>
      </c>
      <c r="B60" s="452">
        <f t="shared" si="3"/>
        <v>54</v>
      </c>
      <c r="C60" s="453"/>
      <c r="D60" s="629" t="s">
        <v>1529</v>
      </c>
      <c r="E60" s="670"/>
      <c r="F60" s="629" t="s">
        <v>1530</v>
      </c>
      <c r="G60" s="207" t="s">
        <v>352</v>
      </c>
      <c r="H60" s="454">
        <f>IF(VLOOKUP($B:$B,일위!$I:$O,3,FALSE)=0,"",VLOOKUP($B:$B,일위!$I:$O,3,FALSE))</f>
        <v>900000</v>
      </c>
      <c r="I60" s="454">
        <f>IF(VLOOKUP($B:$B,일위!$I:$O,5,FALSE)=0,"",VLOOKUP($B:$B,일위!$I:$O,5,FALSE))</f>
        <v>110489</v>
      </c>
      <c r="J60" s="454" t="str">
        <f>IF(VLOOKUP($B:$B,일위!$I:$O,7,FALSE)=0,"",VLOOKUP($B:$B,일위!$I:$O,7,FALSE))</f>
        <v/>
      </c>
      <c r="K60" s="216">
        <f t="shared" ref="K60" si="51">SUM(H60:J60)</f>
        <v>1010489</v>
      </c>
      <c r="L60" s="455" t="str">
        <f t="shared" ref="L60" si="52">"제"&amp;B60&amp;"호표"</f>
        <v>제54호표</v>
      </c>
      <c r="M60" s="455"/>
      <c r="Q60" s="700" t="str">
        <f>VLOOKUP(A60,내역!I:I,1,FALSE)</f>
        <v>BUTTON CONTROLLER제작EA</v>
      </c>
      <c r="R60" s="700" t="str">
        <f>VLOOKUP(A60,일위!H:H,1,FALSE)</f>
        <v>BUTTON CONTROLLER제작EA</v>
      </c>
    </row>
    <row r="61" spans="1:18" s="700" customFormat="1" ht="19.5" customHeight="1" x14ac:dyDescent="0.15">
      <c r="A61" s="632" t="str">
        <f t="shared" ref="A61" si="53">CONCATENATE(D61,F61,G61)</f>
        <v>POWER AMP70W+70WEA</v>
      </c>
      <c r="B61" s="452">
        <f t="shared" si="3"/>
        <v>55</v>
      </c>
      <c r="C61" s="453"/>
      <c r="D61" s="629" t="s">
        <v>1499</v>
      </c>
      <c r="E61" s="670"/>
      <c r="F61" s="629" t="s">
        <v>1500</v>
      </c>
      <c r="G61" s="207" t="s">
        <v>352</v>
      </c>
      <c r="H61" s="454">
        <f>IF(VLOOKUP($B:$B,일위!$I:$O,3,FALSE)=0,"",VLOOKUP($B:$B,일위!$I:$O,3,FALSE))</f>
        <v>400000</v>
      </c>
      <c r="I61" s="454">
        <f>IF(VLOOKUP($B:$B,일위!$I:$O,5,FALSE)=0,"",VLOOKUP($B:$B,일위!$I:$O,5,FALSE))</f>
        <v>415624</v>
      </c>
      <c r="J61" s="454" t="str">
        <f>IF(VLOOKUP($B:$B,일위!$I:$O,7,FALSE)=0,"",VLOOKUP($B:$B,일위!$I:$O,7,FALSE))</f>
        <v/>
      </c>
      <c r="K61" s="216">
        <f t="shared" ref="K61" si="54">SUM(H61:J61)</f>
        <v>815624</v>
      </c>
      <c r="L61" s="455" t="str">
        <f t="shared" ref="L61" si="55">"제"&amp;B61&amp;"호표"</f>
        <v>제55호표</v>
      </c>
      <c r="M61" s="455"/>
      <c r="Q61" s="700" t="str">
        <f>VLOOKUP(A61,내역!I:I,1,FALSE)</f>
        <v>POWER AMP70W+70WEA</v>
      </c>
      <c r="R61" s="700" t="str">
        <f>VLOOKUP(A61,일위!H:H,1,FALSE)</f>
        <v>POWER AMP70W+70WEA</v>
      </c>
    </row>
    <row r="62" spans="1:18" s="700" customFormat="1" ht="19.5" customHeight="1" x14ac:dyDescent="0.15">
      <c r="A62" s="632"/>
      <c r="B62" s="452"/>
      <c r="C62" s="453"/>
      <c r="D62" s="629"/>
      <c r="E62" s="670"/>
      <c r="F62" s="629"/>
      <c r="G62" s="207"/>
      <c r="H62" s="454"/>
      <c r="I62" s="454"/>
      <c r="J62" s="454"/>
      <c r="K62" s="216"/>
      <c r="L62" s="455"/>
      <c r="M62" s="455"/>
    </row>
    <row r="63" spans="1:18" s="700" customFormat="1" ht="19.5" customHeight="1" x14ac:dyDescent="0.15">
      <c r="A63" s="632"/>
      <c r="B63" s="452"/>
      <c r="C63" s="453"/>
      <c r="D63" s="629"/>
      <c r="E63" s="670"/>
      <c r="F63" s="629"/>
      <c r="G63" s="207"/>
      <c r="H63" s="454"/>
      <c r="I63" s="454"/>
      <c r="J63" s="454"/>
      <c r="K63" s="216"/>
      <c r="L63" s="455"/>
      <c r="M63" s="455"/>
    </row>
    <row r="64" spans="1:18" s="700" customFormat="1" ht="19.5" customHeight="1" x14ac:dyDescent="0.15">
      <c r="A64" s="632"/>
      <c r="B64" s="452"/>
      <c r="C64" s="453"/>
      <c r="D64" s="629"/>
      <c r="E64" s="670"/>
      <c r="F64" s="629"/>
      <c r="G64" s="207"/>
      <c r="H64" s="454"/>
      <c r="I64" s="454"/>
      <c r="J64" s="454"/>
      <c r="K64" s="216"/>
      <c r="L64" s="455"/>
      <c r="M64" s="455"/>
    </row>
    <row r="65" spans="14:14" s="700" customFormat="1" ht="11.25" x14ac:dyDescent="0.15">
      <c r="N65" s="838"/>
    </row>
  </sheetData>
  <autoFilter ref="A1:R64"/>
  <mergeCells count="1">
    <mergeCell ref="H4:K4"/>
  </mergeCells>
  <phoneticPr fontId="6" type="noConversion"/>
  <printOptions horizontalCentered="1"/>
  <pageMargins left="0.39370078740157483" right="0.39370078740157483" top="0.70866141732283472" bottom="0.51181102362204722" header="0.51181102362204722" footer="0.51181102362204722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HI1431"/>
  <sheetViews>
    <sheetView view="pageBreakPreview" topLeftCell="B1" zoomScaleSheetLayoutView="100" workbookViewId="0">
      <selection activeCell="J17" sqref="J17"/>
    </sheetView>
  </sheetViews>
  <sheetFormatPr defaultRowHeight="11.25" x14ac:dyDescent="0.15"/>
  <cols>
    <col min="1" max="1" width="3.42578125" style="167" hidden="1" customWidth="1"/>
    <col min="2" max="2" width="0.85546875" style="167" customWidth="1"/>
    <col min="3" max="3" width="24.7109375" style="167" customWidth="1"/>
    <col min="4" max="4" width="0.85546875" style="167" customWidth="1"/>
    <col min="5" max="5" width="24.7109375" style="196" customWidth="1"/>
    <col min="6" max="6" width="7.5703125" style="167" customWidth="1"/>
    <col min="7" max="7" width="10" style="167" customWidth="1"/>
    <col min="8" max="8" width="9.140625" style="450" hidden="1" customWidth="1"/>
    <col min="9" max="9" width="9.85546875" style="450" hidden="1" customWidth="1"/>
    <col min="10" max="13" width="12" style="167" customWidth="1"/>
    <col min="14" max="14" width="9.5703125" style="167" customWidth="1"/>
    <col min="15" max="15" width="10.85546875" style="167" customWidth="1"/>
    <col min="16" max="16" width="0.7109375" style="167" customWidth="1"/>
    <col min="17" max="17" width="10.7109375" style="167" customWidth="1"/>
    <col min="18" max="18" width="6.5703125" style="167" hidden="1" customWidth="1"/>
    <col min="19" max="19" width="0.7109375" style="167" customWidth="1"/>
    <col min="20" max="20" width="7" style="167" customWidth="1"/>
    <col min="21" max="21" width="17.5703125" style="167" customWidth="1"/>
    <col min="22" max="22" width="4.42578125" style="443" customWidth="1"/>
    <col min="23" max="25" width="11.7109375" style="443" hidden="1" customWidth="1"/>
    <col min="26" max="26" width="19" style="443" hidden="1" customWidth="1"/>
    <col min="27" max="27" width="35.7109375" style="443" hidden="1" customWidth="1"/>
    <col min="28" max="16384" width="9.140625" style="435"/>
  </cols>
  <sheetData>
    <row r="1" spans="1:27" ht="20.100000000000001" customHeight="1" thickBot="1" x14ac:dyDescent="0.2">
      <c r="A1" s="100"/>
      <c r="B1" s="166" t="s">
        <v>620</v>
      </c>
      <c r="C1" s="101"/>
      <c r="D1" s="100"/>
      <c r="E1" s="202"/>
      <c r="F1" s="102"/>
      <c r="G1" s="102"/>
      <c r="H1" s="448"/>
      <c r="I1" s="448"/>
      <c r="J1" s="91"/>
      <c r="K1" s="91"/>
      <c r="L1" s="91"/>
      <c r="M1" s="91"/>
      <c r="N1" s="91"/>
      <c r="O1" s="91"/>
      <c r="P1" s="91"/>
      <c r="Q1" s="103"/>
      <c r="R1" s="104"/>
      <c r="S1" s="91"/>
      <c r="W1" s="446" t="s">
        <v>734</v>
      </c>
      <c r="X1" s="446" t="s">
        <v>735</v>
      </c>
      <c r="Y1" s="446" t="s">
        <v>735</v>
      </c>
      <c r="Z1" s="447" t="s">
        <v>736</v>
      </c>
      <c r="AA1" s="447" t="s">
        <v>737</v>
      </c>
    </row>
    <row r="2" spans="1:27" s="436" customFormat="1" ht="39.950000000000003" customHeight="1" x14ac:dyDescent="0.15">
      <c r="A2" s="100"/>
      <c r="B2" s="157" t="s">
        <v>234</v>
      </c>
      <c r="C2" s="105"/>
      <c r="D2" s="106"/>
      <c r="E2" s="203"/>
      <c r="F2" s="106"/>
      <c r="G2" s="106"/>
      <c r="H2" s="449"/>
      <c r="I2" s="449"/>
      <c r="J2" s="107"/>
      <c r="K2" s="107"/>
      <c r="L2" s="107"/>
      <c r="M2" s="107"/>
      <c r="N2" s="107"/>
      <c r="O2" s="107"/>
      <c r="P2" s="107"/>
      <c r="Q2" s="108"/>
      <c r="R2" s="108"/>
      <c r="S2" s="107"/>
      <c r="T2" s="168"/>
      <c r="U2" s="168"/>
      <c r="V2" s="444"/>
      <c r="W2" s="445"/>
      <c r="X2" s="445"/>
      <c r="Y2" s="445"/>
      <c r="Z2" s="445"/>
      <c r="AA2" s="445"/>
    </row>
    <row r="3" spans="1:27" s="457" customFormat="1" ht="15.95" customHeight="1" x14ac:dyDescent="0.15">
      <c r="C3" s="458"/>
      <c r="D3" s="459"/>
      <c r="E3" s="460"/>
      <c r="F3" s="461"/>
      <c r="G3" s="462"/>
      <c r="H3" s="463" t="str">
        <f t="shared" ref="H3:H27" si="0">CONCATENATE(C3,E3,F3)</f>
        <v/>
      </c>
      <c r="I3" s="464"/>
      <c r="J3" s="465"/>
      <c r="K3" s="465"/>
      <c r="L3" s="465"/>
      <c r="M3" s="465"/>
      <c r="N3" s="465"/>
      <c r="O3" s="466"/>
      <c r="P3" s="467"/>
      <c r="Q3" s="468"/>
      <c r="R3" s="469"/>
      <c r="S3" s="467"/>
      <c r="V3" s="470"/>
      <c r="W3" s="471">
        <f>I19</f>
        <v>1</v>
      </c>
      <c r="X3" s="471">
        <v>1</v>
      </c>
      <c r="Y3" s="471">
        <f>X3-W3</f>
        <v>0</v>
      </c>
      <c r="Z3" s="471"/>
      <c r="AA3" s="471"/>
    </row>
    <row r="4" spans="1:27" s="457" customFormat="1" ht="15.95" customHeight="1" x14ac:dyDescent="0.15">
      <c r="B4" s="473"/>
      <c r="C4" s="474" t="str">
        <f>"   항목번호 : "&amp;목록!L$6</f>
        <v xml:space="preserve">   항목번호 : 제1호표</v>
      </c>
      <c r="D4" s="475">
        <f>목록!B$6</f>
        <v>1</v>
      </c>
      <c r="E4" s="476"/>
      <c r="F4" s="477"/>
      <c r="G4" s="478"/>
      <c r="H4" s="463" t="str">
        <f t="shared" si="0"/>
        <v xml:space="preserve">   항목번호 : 제1호표</v>
      </c>
      <c r="I4" s="479"/>
      <c r="J4" s="480"/>
      <c r="K4" s="481"/>
      <c r="L4" s="482"/>
      <c r="M4" s="482"/>
      <c r="N4" s="482"/>
      <c r="O4" s="466"/>
      <c r="P4" s="483"/>
      <c r="Q4" s="484"/>
      <c r="R4" s="485"/>
      <c r="S4" s="483"/>
      <c r="V4" s="470"/>
      <c r="W4" s="471">
        <f>W3</f>
        <v>1</v>
      </c>
      <c r="X4" s="471">
        <f>X3</f>
        <v>1</v>
      </c>
      <c r="Y4" s="471">
        <f t="shared" ref="Y4:Y27" si="1">X4-W4</f>
        <v>0</v>
      </c>
      <c r="Z4" s="471"/>
      <c r="AA4" s="471"/>
    </row>
    <row r="5" spans="1:27" s="457" customFormat="1" ht="15.95" customHeight="1" x14ac:dyDescent="0.15">
      <c r="B5" s="473"/>
      <c r="C5" s="474" t="str">
        <f>"   공      종 : "&amp;목록!D$6</f>
        <v xml:space="preserve">   공      종 : 먹매김</v>
      </c>
      <c r="D5" s="484"/>
      <c r="E5" s="476"/>
      <c r="F5" s="473"/>
      <c r="G5" s="478"/>
      <c r="H5" s="463" t="str">
        <f t="shared" si="0"/>
        <v xml:space="preserve">   공      종 : 먹매김</v>
      </c>
      <c r="I5" s="479"/>
      <c r="J5" s="480"/>
      <c r="K5" s="481"/>
      <c r="L5" s="482"/>
      <c r="M5" s="482"/>
      <c r="N5" s="482"/>
      <c r="O5" s="466"/>
      <c r="P5" s="483"/>
      <c r="Q5" s="484"/>
      <c r="R5" s="485"/>
      <c r="S5" s="483"/>
      <c r="V5" s="470"/>
      <c r="W5" s="471">
        <f t="shared" ref="W5:X27" si="2">W4</f>
        <v>1</v>
      </c>
      <c r="X5" s="471">
        <f t="shared" si="2"/>
        <v>1</v>
      </c>
      <c r="Y5" s="471">
        <f t="shared" si="1"/>
        <v>0</v>
      </c>
      <c r="Z5" s="471"/>
      <c r="AA5" s="471"/>
    </row>
    <row r="6" spans="1:27" s="457" customFormat="1" ht="15.95" customHeight="1" x14ac:dyDescent="0.15">
      <c r="B6" s="473"/>
      <c r="C6" s="474" t="str">
        <f xml:space="preserve"> "   규      격 : "&amp;목록!F$6</f>
        <v xml:space="preserve">   규      격 : 구조부</v>
      </c>
      <c r="D6" s="484"/>
      <c r="E6" s="476"/>
      <c r="F6" s="473"/>
      <c r="G6" s="478"/>
      <c r="H6" s="463" t="str">
        <f t="shared" si="0"/>
        <v xml:space="preserve">   규      격 : 구조부</v>
      </c>
      <c r="I6" s="479"/>
      <c r="J6" s="480" t="s">
        <v>348</v>
      </c>
      <c r="K6" s="481"/>
      <c r="L6" s="482" t="s">
        <v>349</v>
      </c>
      <c r="M6" s="482"/>
      <c r="N6" s="482" t="s">
        <v>240</v>
      </c>
      <c r="O6" s="466"/>
      <c r="P6" s="483"/>
      <c r="Q6" s="484" t="s">
        <v>723</v>
      </c>
      <c r="R6" s="484"/>
      <c r="S6" s="483"/>
      <c r="V6" s="470"/>
      <c r="W6" s="471">
        <f t="shared" si="2"/>
        <v>1</v>
      </c>
      <c r="X6" s="471">
        <f t="shared" si="2"/>
        <v>1</v>
      </c>
      <c r="Y6" s="471">
        <f t="shared" si="1"/>
        <v>0</v>
      </c>
      <c r="Z6" s="471"/>
      <c r="AA6" s="471"/>
    </row>
    <row r="7" spans="1:27" s="457" customFormat="1" ht="15.95" customHeight="1" x14ac:dyDescent="0.15">
      <c r="B7" s="473"/>
      <c r="C7" s="474" t="str">
        <f>"   단      위 : "&amp;목록!G$6</f>
        <v xml:space="preserve">   단      위 : ㎡</v>
      </c>
      <c r="D7" s="484"/>
      <c r="E7" s="476"/>
      <c r="F7" s="473"/>
      <c r="G7" s="478"/>
      <c r="H7" s="463" t="str">
        <f t="shared" si="0"/>
        <v xml:space="preserve">   단      위 : ㎡</v>
      </c>
      <c r="I7" s="479"/>
      <c r="J7" s="486">
        <f>K19</f>
        <v>0</v>
      </c>
      <c r="K7" s="481"/>
      <c r="L7" s="487">
        <f>M19</f>
        <v>1521</v>
      </c>
      <c r="M7" s="482"/>
      <c r="N7" s="482">
        <f>O19</f>
        <v>0</v>
      </c>
      <c r="O7" s="466"/>
      <c r="P7" s="483"/>
      <c r="Q7" s="488">
        <f>J7+L7+N7</f>
        <v>1521</v>
      </c>
      <c r="R7" s="489"/>
      <c r="S7" s="483"/>
      <c r="V7" s="470"/>
      <c r="W7" s="471">
        <f t="shared" si="2"/>
        <v>1</v>
      </c>
      <c r="X7" s="471">
        <f t="shared" si="2"/>
        <v>1</v>
      </c>
      <c r="Y7" s="471">
        <f t="shared" si="1"/>
        <v>0</v>
      </c>
      <c r="Z7" s="471"/>
      <c r="AA7" s="471"/>
    </row>
    <row r="8" spans="1:27" s="457" customFormat="1" ht="15.95" customHeight="1" x14ac:dyDescent="0.15">
      <c r="B8" s="473"/>
      <c r="C8" s="474"/>
      <c r="D8" s="484"/>
      <c r="E8" s="476"/>
      <c r="F8" s="473"/>
      <c r="G8" s="490"/>
      <c r="H8" s="463" t="str">
        <f t="shared" si="0"/>
        <v/>
      </c>
      <c r="I8" s="491"/>
      <c r="J8" s="482"/>
      <c r="K8" s="465"/>
      <c r="L8" s="482"/>
      <c r="M8" s="482"/>
      <c r="N8" s="482"/>
      <c r="O8" s="466"/>
      <c r="P8" s="492"/>
      <c r="Q8" s="493"/>
      <c r="R8" s="485"/>
      <c r="S8" s="492"/>
      <c r="V8" s="470"/>
      <c r="W8" s="471">
        <f t="shared" si="2"/>
        <v>1</v>
      </c>
      <c r="X8" s="471">
        <f t="shared" si="2"/>
        <v>1</v>
      </c>
      <c r="Y8" s="471">
        <f t="shared" si="1"/>
        <v>0</v>
      </c>
      <c r="Z8" s="471"/>
      <c r="AA8" s="471"/>
    </row>
    <row r="9" spans="1:27" s="457" customFormat="1" ht="15.95" customHeight="1" x14ac:dyDescent="0.15">
      <c r="B9" s="899" t="s">
        <v>375</v>
      </c>
      <c r="C9" s="900"/>
      <c r="D9" s="907" t="s">
        <v>356</v>
      </c>
      <c r="E9" s="908"/>
      <c r="F9" s="903" t="s">
        <v>588</v>
      </c>
      <c r="G9" s="913" t="s">
        <v>589</v>
      </c>
      <c r="H9" s="463" t="str">
        <f t="shared" si="0"/>
        <v>단위</v>
      </c>
      <c r="I9" s="494"/>
      <c r="J9" s="495" t="s">
        <v>348</v>
      </c>
      <c r="K9" s="496"/>
      <c r="L9" s="495" t="s">
        <v>349</v>
      </c>
      <c r="M9" s="496"/>
      <c r="N9" s="497" t="s">
        <v>240</v>
      </c>
      <c r="O9" s="497"/>
      <c r="P9" s="498"/>
      <c r="Q9" s="917" t="s">
        <v>355</v>
      </c>
      <c r="R9" s="917"/>
      <c r="S9" s="499"/>
      <c r="V9" s="470"/>
      <c r="W9" s="471">
        <f t="shared" si="2"/>
        <v>1</v>
      </c>
      <c r="X9" s="471">
        <f t="shared" si="2"/>
        <v>1</v>
      </c>
      <c r="Y9" s="471">
        <f t="shared" si="1"/>
        <v>0</v>
      </c>
      <c r="Z9" s="471"/>
      <c r="AA9" s="471"/>
    </row>
    <row r="10" spans="1:27" s="457" customFormat="1" ht="15.95" customHeight="1" x14ac:dyDescent="0.15">
      <c r="B10" s="901"/>
      <c r="C10" s="902"/>
      <c r="D10" s="909"/>
      <c r="E10" s="910"/>
      <c r="F10" s="904"/>
      <c r="G10" s="914"/>
      <c r="H10" s="463" t="str">
        <f t="shared" si="0"/>
        <v/>
      </c>
      <c r="I10" s="500"/>
      <c r="J10" s="501" t="s">
        <v>353</v>
      </c>
      <c r="K10" s="501" t="s">
        <v>354</v>
      </c>
      <c r="L10" s="501" t="s">
        <v>353</v>
      </c>
      <c r="M10" s="502" t="s">
        <v>354</v>
      </c>
      <c r="N10" s="501" t="s">
        <v>353</v>
      </c>
      <c r="O10" s="501" t="s">
        <v>354</v>
      </c>
      <c r="P10" s="503"/>
      <c r="Q10" s="918"/>
      <c r="R10" s="918"/>
      <c r="S10" s="504"/>
      <c r="V10" s="470"/>
      <c r="W10" s="471">
        <f t="shared" si="2"/>
        <v>1</v>
      </c>
      <c r="X10" s="471">
        <f t="shared" si="2"/>
        <v>1</v>
      </c>
      <c r="Y10" s="471">
        <f t="shared" si="1"/>
        <v>0</v>
      </c>
      <c r="Z10" s="471"/>
      <c r="AA10" s="471"/>
    </row>
    <row r="11" spans="1:27" s="470" customFormat="1" ht="15.95" customHeight="1" x14ac:dyDescent="0.15">
      <c r="B11" s="95"/>
      <c r="C11" s="140" t="s">
        <v>749</v>
      </c>
      <c r="D11" s="95"/>
      <c r="E11" s="141"/>
      <c r="F11" s="94" t="s">
        <v>750</v>
      </c>
      <c r="G11" s="505">
        <v>8.9999999999999993E-3</v>
      </c>
      <c r="H11" s="463" t="str">
        <f t="shared" si="0"/>
        <v>건축목공인</v>
      </c>
      <c r="I11" s="451" t="str">
        <f>CONCATENATE(C11,E11,F11)</f>
        <v>건축목공인</v>
      </c>
      <c r="J11" s="506" t="str">
        <f>IF(OR($F11="인",$F11=""),"",VLOOKUP($H11,단가!$A:$S,19,FALSE))</f>
        <v/>
      </c>
      <c r="K11" s="507" t="str">
        <f>IF(J11="","",TRUNC($G11*J11,0))</f>
        <v/>
      </c>
      <c r="L11" s="506">
        <f>IF($F11="인",VLOOKUP($C:$C,노임!$C:$G,4,FALSE),"")</f>
        <v>169062</v>
      </c>
      <c r="M11" s="507">
        <f>IF(L11="","",TRUNC($G11*L11,0))</f>
        <v>1521</v>
      </c>
      <c r="N11" s="507"/>
      <c r="O11" s="507" t="str">
        <f>IF(N11="","",TRUNC($G11*N11,0))</f>
        <v/>
      </c>
      <c r="P11" s="508"/>
      <c r="Q11" s="509" t="str">
        <f>IF(F11="인","노임"&amp;VLOOKUP($C:$C,노임!C:G,5,FALSE)&amp;"번","단가"&amp;VLOOKUP($H:$H,단가!$A:$B,2,FALSE)&amp;"번")</f>
        <v>노임1023번</v>
      </c>
      <c r="R11" s="510"/>
      <c r="S11" s="131"/>
      <c r="T11" s="470" t="str">
        <f>CONCATENATE(Q11,R11)</f>
        <v>노임1023번</v>
      </c>
      <c r="W11" s="471">
        <f t="shared" si="2"/>
        <v>1</v>
      </c>
      <c r="X11" s="471">
        <f t="shared" si="2"/>
        <v>1</v>
      </c>
      <c r="Y11" s="471">
        <f t="shared" si="1"/>
        <v>0</v>
      </c>
      <c r="Z11" s="471"/>
      <c r="AA11" s="471"/>
    </row>
    <row r="12" spans="1:27" s="470" customFormat="1" ht="15.95" customHeight="1" x14ac:dyDescent="0.15">
      <c r="B12" s="95"/>
      <c r="C12" s="140"/>
      <c r="D12" s="95"/>
      <c r="E12" s="141"/>
      <c r="F12" s="94"/>
      <c r="G12" s="505"/>
      <c r="H12" s="463" t="str">
        <f t="shared" si="0"/>
        <v/>
      </c>
      <c r="I12" s="451"/>
      <c r="J12" s="506"/>
      <c r="K12" s="507"/>
      <c r="L12" s="506"/>
      <c r="M12" s="507"/>
      <c r="N12" s="507"/>
      <c r="O12" s="507"/>
      <c r="P12" s="508"/>
      <c r="Q12" s="512"/>
      <c r="R12" s="513"/>
      <c r="S12" s="131"/>
      <c r="T12" s="470" t="str">
        <f t="shared" ref="T12:T27" si="3">CONCATENATE(Q12,R12)</f>
        <v/>
      </c>
      <c r="W12" s="471">
        <f t="shared" si="2"/>
        <v>1</v>
      </c>
      <c r="X12" s="471">
        <f t="shared" si="2"/>
        <v>1</v>
      </c>
      <c r="Y12" s="471">
        <f t="shared" si="1"/>
        <v>0</v>
      </c>
      <c r="Z12" s="471"/>
      <c r="AA12" s="471"/>
    </row>
    <row r="13" spans="1:27" s="470" customFormat="1" ht="15.95" customHeight="1" x14ac:dyDescent="0.15">
      <c r="B13" s="95"/>
      <c r="C13" s="140"/>
      <c r="D13" s="95"/>
      <c r="E13" s="141"/>
      <c r="F13" s="94"/>
      <c r="G13" s="505"/>
      <c r="H13" s="463" t="str">
        <f t="shared" si="0"/>
        <v/>
      </c>
      <c r="I13" s="451"/>
      <c r="J13" s="506"/>
      <c r="K13" s="507"/>
      <c r="L13" s="506"/>
      <c r="M13" s="507"/>
      <c r="N13" s="507"/>
      <c r="O13" s="507"/>
      <c r="P13" s="508"/>
      <c r="Q13" s="512"/>
      <c r="R13" s="513"/>
      <c r="S13" s="131"/>
      <c r="T13" s="470" t="str">
        <f t="shared" si="3"/>
        <v/>
      </c>
      <c r="W13" s="471">
        <f t="shared" si="2"/>
        <v>1</v>
      </c>
      <c r="X13" s="471">
        <f t="shared" si="2"/>
        <v>1</v>
      </c>
      <c r="Y13" s="471">
        <f t="shared" si="1"/>
        <v>0</v>
      </c>
      <c r="Z13" s="471"/>
      <c r="AA13" s="471"/>
    </row>
    <row r="14" spans="1:27" s="470" customFormat="1" ht="15.95" customHeight="1" x14ac:dyDescent="0.15">
      <c r="B14" s="95"/>
      <c r="C14" s="140"/>
      <c r="D14" s="95"/>
      <c r="E14" s="141"/>
      <c r="F14" s="94"/>
      <c r="G14" s="505"/>
      <c r="H14" s="463" t="str">
        <f t="shared" si="0"/>
        <v/>
      </c>
      <c r="I14" s="451"/>
      <c r="J14" s="506"/>
      <c r="K14" s="507"/>
      <c r="L14" s="506"/>
      <c r="M14" s="507"/>
      <c r="N14" s="507"/>
      <c r="O14" s="507"/>
      <c r="P14" s="508"/>
      <c r="Q14" s="512"/>
      <c r="R14" s="513"/>
      <c r="S14" s="131"/>
      <c r="T14" s="470" t="str">
        <f t="shared" si="3"/>
        <v/>
      </c>
      <c r="W14" s="471">
        <f t="shared" si="2"/>
        <v>1</v>
      </c>
      <c r="X14" s="471">
        <f t="shared" si="2"/>
        <v>1</v>
      </c>
      <c r="Y14" s="471">
        <f t="shared" si="1"/>
        <v>0</v>
      </c>
      <c r="Z14" s="471"/>
      <c r="AA14" s="471"/>
    </row>
    <row r="15" spans="1:27" s="470" customFormat="1" ht="15.95" customHeight="1" x14ac:dyDescent="0.15">
      <c r="B15" s="95"/>
      <c r="C15" s="140"/>
      <c r="D15" s="95"/>
      <c r="E15" s="141"/>
      <c r="F15" s="94"/>
      <c r="G15" s="505"/>
      <c r="H15" s="463" t="str">
        <f t="shared" si="0"/>
        <v/>
      </c>
      <c r="I15" s="451"/>
      <c r="J15" s="506"/>
      <c r="K15" s="507"/>
      <c r="L15" s="506"/>
      <c r="M15" s="507"/>
      <c r="N15" s="507"/>
      <c r="O15" s="507"/>
      <c r="P15" s="508"/>
      <c r="Q15" s="512"/>
      <c r="R15" s="513"/>
      <c r="S15" s="131"/>
      <c r="T15" s="470" t="str">
        <f t="shared" si="3"/>
        <v/>
      </c>
      <c r="W15" s="471">
        <f t="shared" si="2"/>
        <v>1</v>
      </c>
      <c r="X15" s="471">
        <f t="shared" si="2"/>
        <v>1</v>
      </c>
      <c r="Y15" s="471">
        <f t="shared" si="1"/>
        <v>0</v>
      </c>
      <c r="Z15" s="471"/>
      <c r="AA15" s="471"/>
    </row>
    <row r="16" spans="1:27" s="470" customFormat="1" ht="15.95" customHeight="1" x14ac:dyDescent="0.15">
      <c r="B16" s="95"/>
      <c r="C16" s="140"/>
      <c r="D16" s="95"/>
      <c r="E16" s="141"/>
      <c r="F16" s="94"/>
      <c r="G16" s="505"/>
      <c r="H16" s="463" t="str">
        <f t="shared" si="0"/>
        <v/>
      </c>
      <c r="I16" s="451"/>
      <c r="J16" s="506"/>
      <c r="K16" s="507"/>
      <c r="L16" s="506"/>
      <c r="M16" s="507"/>
      <c r="N16" s="507"/>
      <c r="O16" s="507"/>
      <c r="P16" s="508"/>
      <c r="Q16" s="512"/>
      <c r="R16" s="513"/>
      <c r="S16" s="131"/>
      <c r="T16" s="470" t="str">
        <f t="shared" si="3"/>
        <v/>
      </c>
      <c r="W16" s="471">
        <f t="shared" si="2"/>
        <v>1</v>
      </c>
      <c r="X16" s="471">
        <f t="shared" si="2"/>
        <v>1</v>
      </c>
      <c r="Y16" s="471">
        <f t="shared" si="1"/>
        <v>0</v>
      </c>
      <c r="Z16" s="471"/>
      <c r="AA16" s="471"/>
    </row>
    <row r="17" spans="1:217" s="470" customFormat="1" ht="15.95" customHeight="1" x14ac:dyDescent="0.15">
      <c r="B17" s="95"/>
      <c r="C17" s="140"/>
      <c r="D17" s="95"/>
      <c r="E17" s="141"/>
      <c r="F17" s="94"/>
      <c r="G17" s="505"/>
      <c r="H17" s="463" t="str">
        <f t="shared" si="0"/>
        <v/>
      </c>
      <c r="I17" s="451"/>
      <c r="J17" s="506"/>
      <c r="K17" s="507"/>
      <c r="L17" s="506"/>
      <c r="M17" s="507"/>
      <c r="N17" s="507"/>
      <c r="O17" s="507"/>
      <c r="P17" s="508"/>
      <c r="Q17" s="512"/>
      <c r="R17" s="513"/>
      <c r="S17" s="131"/>
      <c r="T17" s="470" t="str">
        <f t="shared" si="3"/>
        <v/>
      </c>
      <c r="W17" s="471">
        <f t="shared" si="2"/>
        <v>1</v>
      </c>
      <c r="X17" s="471">
        <f t="shared" si="2"/>
        <v>1</v>
      </c>
      <c r="Y17" s="471">
        <f t="shared" si="1"/>
        <v>0</v>
      </c>
      <c r="Z17" s="471"/>
      <c r="AA17" s="471"/>
    </row>
    <row r="18" spans="1:217" s="470" customFormat="1" ht="15.95" customHeight="1" x14ac:dyDescent="0.15">
      <c r="B18" s="95"/>
      <c r="C18" s="140"/>
      <c r="D18" s="95"/>
      <c r="E18" s="141"/>
      <c r="F18" s="94"/>
      <c r="G18" s="505"/>
      <c r="H18" s="463" t="str">
        <f t="shared" si="0"/>
        <v/>
      </c>
      <c r="I18" s="451"/>
      <c r="J18" s="506"/>
      <c r="K18" s="507"/>
      <c r="L18" s="506"/>
      <c r="M18" s="507"/>
      <c r="N18" s="507"/>
      <c r="O18" s="507"/>
      <c r="P18" s="508"/>
      <c r="Q18" s="512"/>
      <c r="R18" s="513"/>
      <c r="S18" s="131"/>
      <c r="T18" s="470" t="str">
        <f t="shared" si="3"/>
        <v/>
      </c>
      <c r="W18" s="471">
        <f t="shared" si="2"/>
        <v>1</v>
      </c>
      <c r="X18" s="471">
        <f t="shared" si="2"/>
        <v>1</v>
      </c>
      <c r="Y18" s="471">
        <f t="shared" si="1"/>
        <v>0</v>
      </c>
      <c r="Z18" s="471"/>
      <c r="AA18" s="471"/>
    </row>
    <row r="19" spans="1:217" s="470" customFormat="1" ht="15.95" customHeight="1" x14ac:dyDescent="0.15">
      <c r="A19" s="457"/>
      <c r="B19" s="514" t="s">
        <v>751</v>
      </c>
      <c r="C19" s="515"/>
      <c r="D19" s="516"/>
      <c r="E19" s="517"/>
      <c r="F19" s="518"/>
      <c r="G19" s="519"/>
      <c r="H19" s="463" t="str">
        <f t="shared" si="0"/>
        <v/>
      </c>
      <c r="I19" s="520">
        <f>목록!$B$6</f>
        <v>1</v>
      </c>
      <c r="J19" s="521"/>
      <c r="K19" s="522">
        <f>SUM(K11:K18)</f>
        <v>0</v>
      </c>
      <c r="L19" s="521"/>
      <c r="M19" s="522">
        <f>SUM(M11:M18)</f>
        <v>1521</v>
      </c>
      <c r="N19" s="521"/>
      <c r="O19" s="522">
        <f>SUM(O11:O18)</f>
        <v>0</v>
      </c>
      <c r="P19" s="523"/>
      <c r="Q19" s="512"/>
      <c r="R19" s="513"/>
      <c r="S19" s="524"/>
      <c r="T19" s="470" t="str">
        <f t="shared" si="3"/>
        <v/>
      </c>
      <c r="W19" s="471">
        <f t="shared" si="2"/>
        <v>1</v>
      </c>
      <c r="X19" s="471">
        <f t="shared" si="2"/>
        <v>1</v>
      </c>
      <c r="Y19" s="471">
        <f t="shared" si="1"/>
        <v>0</v>
      </c>
      <c r="Z19" s="471"/>
      <c r="AA19" s="471"/>
    </row>
    <row r="20" spans="1:217" s="470" customFormat="1" ht="15.95" customHeight="1" x14ac:dyDescent="0.15">
      <c r="B20" s="453"/>
      <c r="C20" s="630" t="s">
        <v>1207</v>
      </c>
      <c r="D20" s="95"/>
      <c r="E20" s="141"/>
      <c r="F20" s="94"/>
      <c r="G20" s="505"/>
      <c r="H20" s="463" t="str">
        <f t="shared" si="0"/>
        <v>※ 건축표준품셈 : 11-1-1 먹매김(구조부 주택 먹매김 준용)</v>
      </c>
      <c r="I20" s="451"/>
      <c r="J20" s="506"/>
      <c r="K20" s="507"/>
      <c r="L20" s="506"/>
      <c r="M20" s="507"/>
      <c r="N20" s="507"/>
      <c r="O20" s="507"/>
      <c r="P20" s="508"/>
      <c r="Q20" s="512"/>
      <c r="R20" s="513"/>
      <c r="S20" s="131"/>
      <c r="T20" s="470" t="str">
        <f t="shared" si="3"/>
        <v/>
      </c>
      <c r="W20" s="471">
        <f t="shared" si="2"/>
        <v>1</v>
      </c>
      <c r="X20" s="471">
        <f t="shared" si="2"/>
        <v>1</v>
      </c>
      <c r="Y20" s="471">
        <f t="shared" si="1"/>
        <v>0</v>
      </c>
      <c r="Z20" s="471"/>
      <c r="AA20" s="471"/>
    </row>
    <row r="21" spans="1:217" s="470" customFormat="1" ht="15.95" customHeight="1" x14ac:dyDescent="0.15">
      <c r="B21" s="453"/>
      <c r="C21" s="630" t="s">
        <v>1206</v>
      </c>
      <c r="D21" s="95"/>
      <c r="E21" s="141"/>
      <c r="F21" s="94"/>
      <c r="G21" s="505"/>
      <c r="H21" s="463" t="str">
        <f t="shared" si="0"/>
        <v>※ 구조부 먹메김은 거푸집 해체 후 구조부 내부의 기준선을 표시하기 위한 작업임.</v>
      </c>
      <c r="I21" s="451"/>
      <c r="J21" s="506"/>
      <c r="K21" s="507"/>
      <c r="L21" s="506"/>
      <c r="M21" s="507"/>
      <c r="N21" s="507"/>
      <c r="O21" s="507"/>
      <c r="P21" s="508"/>
      <c r="Q21" s="512"/>
      <c r="R21" s="513"/>
      <c r="S21" s="131"/>
      <c r="T21" s="470" t="str">
        <f t="shared" si="3"/>
        <v/>
      </c>
      <c r="W21" s="471">
        <f t="shared" si="2"/>
        <v>1</v>
      </c>
      <c r="X21" s="471">
        <f t="shared" si="2"/>
        <v>1</v>
      </c>
      <c r="Y21" s="471">
        <f t="shared" si="1"/>
        <v>0</v>
      </c>
      <c r="Z21" s="471"/>
      <c r="AA21" s="471"/>
    </row>
    <row r="22" spans="1:217" s="470" customFormat="1" ht="15.95" customHeight="1" x14ac:dyDescent="0.15">
      <c r="A22" s="457"/>
      <c r="B22" s="514"/>
      <c r="C22" s="515"/>
      <c r="D22" s="516"/>
      <c r="E22" s="517"/>
      <c r="F22" s="518"/>
      <c r="G22" s="519"/>
      <c r="H22" s="463" t="str">
        <f t="shared" si="0"/>
        <v/>
      </c>
      <c r="I22" s="520"/>
      <c r="J22" s="521"/>
      <c r="K22" s="522"/>
      <c r="L22" s="521"/>
      <c r="M22" s="522"/>
      <c r="N22" s="521"/>
      <c r="O22" s="522"/>
      <c r="P22" s="523"/>
      <c r="Q22" s="512"/>
      <c r="R22" s="513"/>
      <c r="S22" s="524"/>
      <c r="T22" s="470" t="str">
        <f t="shared" si="3"/>
        <v/>
      </c>
      <c r="W22" s="471">
        <f t="shared" si="2"/>
        <v>1</v>
      </c>
      <c r="X22" s="471">
        <f t="shared" si="2"/>
        <v>1</v>
      </c>
      <c r="Y22" s="471">
        <f t="shared" si="1"/>
        <v>0</v>
      </c>
      <c r="Z22" s="471"/>
      <c r="AA22" s="471"/>
    </row>
    <row r="23" spans="1:217" s="470" customFormat="1" ht="15.95" customHeight="1" x14ac:dyDescent="0.15">
      <c r="A23" s="457"/>
      <c r="B23" s="525" t="str">
        <f>"주 1) 수량 : 2017년 표준품셈 및 전문업체 작업조업도 참조"</f>
        <v>주 1) 수량 : 2017년 표준품셈 및 전문업체 작업조업도 참조</v>
      </c>
      <c r="D23" s="526"/>
      <c r="E23" s="460"/>
      <c r="F23" s="526"/>
      <c r="G23" s="527"/>
      <c r="H23" s="463"/>
      <c r="I23" s="528"/>
      <c r="J23" s="529"/>
      <c r="K23" s="530"/>
      <c r="L23" s="529"/>
      <c r="M23" s="530"/>
      <c r="N23" s="529"/>
      <c r="O23" s="530"/>
      <c r="P23" s="530"/>
      <c r="Q23" s="531"/>
      <c r="R23" s="532"/>
      <c r="S23" s="530"/>
      <c r="T23" s="470" t="str">
        <f t="shared" si="3"/>
        <v/>
      </c>
      <c r="W23" s="471">
        <f t="shared" si="2"/>
        <v>1</v>
      </c>
      <c r="X23" s="471">
        <f t="shared" si="2"/>
        <v>1</v>
      </c>
      <c r="Y23" s="471">
        <f t="shared" si="1"/>
        <v>0</v>
      </c>
      <c r="Z23" s="471"/>
      <c r="AA23" s="471"/>
    </row>
    <row r="24" spans="1:217" s="470" customFormat="1" ht="15.95" customHeight="1" x14ac:dyDescent="0.15">
      <c r="A24" s="457"/>
      <c r="B24" s="525" t="str">
        <f>"   2) 재료비 단가 : "&amp;목록!B1&amp;목록!B2&amp;" 및 "&amp;단가!B1&amp;단가!B2&amp;" 참조"</f>
        <v xml:space="preserve">   2) 재료비 단가 : &lt; 표 : 4 &gt; 일위대가목록표 및 &lt; 표 : 6 &gt; 단가조사비교표 참조</v>
      </c>
      <c r="D24" s="526"/>
      <c r="E24" s="460"/>
      <c r="F24" s="526"/>
      <c r="G24" s="527"/>
      <c r="H24" s="463"/>
      <c r="I24" s="528"/>
      <c r="J24" s="529"/>
      <c r="K24" s="530"/>
      <c r="L24" s="529"/>
      <c r="M24" s="530"/>
      <c r="N24" s="529"/>
      <c r="O24" s="530"/>
      <c r="P24" s="530"/>
      <c r="Q24" s="531"/>
      <c r="R24" s="532"/>
      <c r="S24" s="530"/>
      <c r="T24" s="470" t="str">
        <f t="shared" si="3"/>
        <v/>
      </c>
      <c r="W24" s="471">
        <f t="shared" si="2"/>
        <v>1</v>
      </c>
      <c r="X24" s="471">
        <f t="shared" si="2"/>
        <v>1</v>
      </c>
      <c r="Y24" s="471">
        <f t="shared" si="1"/>
        <v>0</v>
      </c>
      <c r="Z24" s="471"/>
      <c r="AA24" s="471"/>
    </row>
    <row r="25" spans="1:217" s="470" customFormat="1" ht="15.95" customHeight="1" x14ac:dyDescent="0.15">
      <c r="A25" s="457"/>
      <c r="B25" s="525" t="str">
        <f>"   3) 직접노무비 단가 : "&amp;목록!B1&amp;목록!B2&amp;" 및 2017년 하반기 공사노임 참조"</f>
        <v xml:space="preserve">   3) 직접노무비 단가 : &lt; 표 : 4 &gt; 일위대가목록표 및 2017년 하반기 공사노임 참조</v>
      </c>
      <c r="D25" s="526"/>
      <c r="E25" s="460"/>
      <c r="F25" s="526"/>
      <c r="G25" s="527"/>
      <c r="H25" s="463"/>
      <c r="I25" s="528"/>
      <c r="J25" s="529"/>
      <c r="K25" s="530"/>
      <c r="L25" s="529"/>
      <c r="M25" s="530"/>
      <c r="N25" s="529"/>
      <c r="O25" s="530"/>
      <c r="P25" s="530"/>
      <c r="Q25" s="531"/>
      <c r="R25" s="532"/>
      <c r="S25" s="530"/>
      <c r="T25" s="470" t="str">
        <f t="shared" si="3"/>
        <v/>
      </c>
      <c r="W25" s="471">
        <f t="shared" si="2"/>
        <v>1</v>
      </c>
      <c r="X25" s="471">
        <f t="shared" si="2"/>
        <v>1</v>
      </c>
      <c r="Y25" s="471">
        <f t="shared" si="1"/>
        <v>0</v>
      </c>
      <c r="Z25" s="471"/>
      <c r="AA25" s="471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7"/>
      <c r="CS25" s="457"/>
      <c r="CT25" s="457"/>
      <c r="CU25" s="457"/>
      <c r="CV25" s="457"/>
      <c r="CW25" s="457"/>
      <c r="CX25" s="457"/>
      <c r="CY25" s="457"/>
      <c r="CZ25" s="457"/>
      <c r="DA25" s="457"/>
      <c r="DB25" s="457"/>
      <c r="DC25" s="457"/>
      <c r="DD25" s="457"/>
      <c r="DE25" s="457"/>
      <c r="DF25" s="457"/>
      <c r="DG25" s="457"/>
      <c r="DH25" s="457"/>
      <c r="DI25" s="457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457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  <c r="EI25" s="457"/>
      <c r="EJ25" s="457"/>
      <c r="EK25" s="457"/>
      <c r="EL25" s="457"/>
      <c r="EM25" s="457"/>
      <c r="EN25" s="457"/>
      <c r="EO25" s="457"/>
      <c r="EP25" s="457"/>
      <c r="EQ25" s="457"/>
      <c r="ER25" s="457"/>
      <c r="ES25" s="457"/>
      <c r="ET25" s="457"/>
      <c r="EU25" s="457"/>
      <c r="EV25" s="457"/>
      <c r="EW25" s="457"/>
      <c r="EX25" s="457"/>
      <c r="EY25" s="457"/>
      <c r="EZ25" s="457"/>
      <c r="FA25" s="457"/>
      <c r="FB25" s="457"/>
      <c r="FC25" s="457"/>
      <c r="FD25" s="457"/>
      <c r="FE25" s="457"/>
      <c r="FF25" s="457"/>
      <c r="FG25" s="457"/>
      <c r="FH25" s="457"/>
      <c r="FI25" s="457"/>
      <c r="FJ25" s="457"/>
      <c r="FK25" s="457"/>
      <c r="FL25" s="457"/>
      <c r="FM25" s="457"/>
      <c r="FN25" s="457"/>
      <c r="FO25" s="457"/>
      <c r="FP25" s="457"/>
      <c r="FQ25" s="457"/>
      <c r="FR25" s="457"/>
      <c r="FS25" s="457"/>
      <c r="FT25" s="457"/>
      <c r="FU25" s="457"/>
      <c r="FV25" s="457"/>
      <c r="FW25" s="457"/>
      <c r="FX25" s="457"/>
      <c r="FY25" s="457"/>
      <c r="FZ25" s="457"/>
      <c r="GA25" s="457"/>
      <c r="GB25" s="457"/>
      <c r="GC25" s="457"/>
      <c r="GD25" s="457"/>
      <c r="GE25" s="457"/>
      <c r="GF25" s="457"/>
      <c r="GG25" s="457"/>
      <c r="GH25" s="457"/>
      <c r="GI25" s="457"/>
      <c r="GJ25" s="457"/>
      <c r="GK25" s="457"/>
      <c r="GL25" s="457"/>
      <c r="GM25" s="457"/>
      <c r="GN25" s="457"/>
      <c r="GO25" s="457"/>
      <c r="GP25" s="457"/>
      <c r="GQ25" s="457"/>
      <c r="GR25" s="457"/>
      <c r="GS25" s="457"/>
      <c r="GT25" s="457"/>
      <c r="GU25" s="457"/>
      <c r="GV25" s="457"/>
      <c r="GW25" s="457"/>
      <c r="GX25" s="457"/>
      <c r="GY25" s="457"/>
      <c r="GZ25" s="457"/>
      <c r="HA25" s="457"/>
      <c r="HB25" s="457"/>
      <c r="HC25" s="457"/>
      <c r="HD25" s="457"/>
      <c r="HE25" s="457"/>
      <c r="HF25" s="457"/>
      <c r="HG25" s="457"/>
      <c r="HH25" s="457"/>
      <c r="HI25" s="457"/>
    </row>
    <row r="26" spans="1:217" s="470" customFormat="1" ht="15.95" customHeight="1" x14ac:dyDescent="0.15">
      <c r="A26" s="457"/>
      <c r="B26" s="525" t="str">
        <f>"   4) 기계경비 단가 : "&amp;목록!B1&amp;목록!B2&amp;" 및 "&amp;단가!B1&amp;단가!B2&amp;" 참조"</f>
        <v xml:space="preserve">   4) 기계경비 단가 : &lt; 표 : 4 &gt; 일위대가목록표 및 &lt; 표 : 6 &gt; 단가조사비교표 참조</v>
      </c>
      <c r="D26" s="526"/>
      <c r="E26" s="460"/>
      <c r="F26" s="526"/>
      <c r="G26" s="527"/>
      <c r="H26" s="463"/>
      <c r="I26" s="528"/>
      <c r="J26" s="529"/>
      <c r="K26" s="530"/>
      <c r="L26" s="529"/>
      <c r="M26" s="530"/>
      <c r="N26" s="529"/>
      <c r="O26" s="530"/>
      <c r="P26" s="530"/>
      <c r="Q26" s="531"/>
      <c r="R26" s="532"/>
      <c r="S26" s="530"/>
      <c r="T26" s="470" t="str">
        <f t="shared" si="3"/>
        <v/>
      </c>
      <c r="W26" s="471">
        <f t="shared" si="2"/>
        <v>1</v>
      </c>
      <c r="X26" s="471">
        <f t="shared" si="2"/>
        <v>1</v>
      </c>
      <c r="Y26" s="471">
        <f t="shared" si="1"/>
        <v>0</v>
      </c>
      <c r="Z26" s="471"/>
      <c r="AA26" s="471"/>
    </row>
    <row r="27" spans="1:217" s="470" customFormat="1" ht="15.75" customHeight="1" x14ac:dyDescent="0.15">
      <c r="A27" s="457"/>
      <c r="B27" s="457"/>
      <c r="C27" s="458"/>
      <c r="D27" s="459"/>
      <c r="E27" s="460"/>
      <c r="F27" s="461"/>
      <c r="G27" s="462"/>
      <c r="H27" s="463" t="str">
        <f t="shared" si="0"/>
        <v/>
      </c>
      <c r="I27" s="464"/>
      <c r="J27" s="465"/>
      <c r="K27" s="465"/>
      <c r="L27" s="465"/>
      <c r="M27" s="465"/>
      <c r="N27" s="465"/>
      <c r="O27" s="466"/>
      <c r="P27" s="467"/>
      <c r="Q27" s="468"/>
      <c r="R27" s="469"/>
      <c r="S27" s="467"/>
      <c r="T27" s="470" t="str">
        <f t="shared" si="3"/>
        <v/>
      </c>
      <c r="W27" s="471">
        <f t="shared" si="2"/>
        <v>1</v>
      </c>
      <c r="X27" s="471">
        <f t="shared" si="2"/>
        <v>1</v>
      </c>
      <c r="Y27" s="471">
        <f t="shared" si="1"/>
        <v>0</v>
      </c>
      <c r="Z27" s="471"/>
      <c r="AA27" s="471"/>
    </row>
    <row r="28" spans="1:217" s="470" customFormat="1" ht="15.75" customHeight="1" x14ac:dyDescent="0.15">
      <c r="A28" s="457"/>
      <c r="B28" s="457"/>
      <c r="C28" s="458"/>
      <c r="D28" s="459"/>
      <c r="E28" s="460"/>
      <c r="F28" s="461"/>
      <c r="G28" s="462"/>
      <c r="H28" s="463" t="str">
        <f t="shared" ref="H28:H53" si="4">CONCATENATE(C28,E28,F28)</f>
        <v/>
      </c>
      <c r="I28" s="464"/>
      <c r="J28" s="465"/>
      <c r="K28" s="465"/>
      <c r="L28" s="465"/>
      <c r="M28" s="465"/>
      <c r="N28" s="465"/>
      <c r="O28" s="466"/>
      <c r="P28" s="467"/>
      <c r="Q28" s="468"/>
      <c r="R28" s="469"/>
      <c r="S28" s="467"/>
      <c r="T28" s="470" t="str">
        <f t="shared" ref="T28:T53" si="5">CONCATENATE(Q28,R28)</f>
        <v/>
      </c>
      <c r="W28" s="533">
        <f t="shared" ref="W28" si="6">I50</f>
        <v>2</v>
      </c>
      <c r="X28" s="533" t="e">
        <f>#REF!+1</f>
        <v>#REF!</v>
      </c>
      <c r="Y28" s="533" t="e">
        <f t="shared" ref="Y28:Y52" si="7">X28-W28</f>
        <v>#REF!</v>
      </c>
      <c r="Z28" s="533"/>
      <c r="AA28" s="533"/>
    </row>
    <row r="29" spans="1:217" s="457" customFormat="1" ht="15.75" customHeight="1" x14ac:dyDescent="0.15">
      <c r="B29" s="473"/>
      <c r="C29" s="474" t="str">
        <f>"   항목번호 : "&amp;목록!L$7</f>
        <v xml:space="preserve">   항목번호 : 제2호표</v>
      </c>
      <c r="D29" s="475">
        <f>목록!B$7</f>
        <v>2</v>
      </c>
      <c r="E29" s="476"/>
      <c r="F29" s="473"/>
      <c r="G29" s="478"/>
      <c r="H29" s="463" t="str">
        <f t="shared" si="4"/>
        <v xml:space="preserve">   항목번호 : 제2호표</v>
      </c>
      <c r="I29" s="479"/>
      <c r="J29" s="480"/>
      <c r="K29" s="481"/>
      <c r="L29" s="482"/>
      <c r="M29" s="482"/>
      <c r="N29" s="482"/>
      <c r="O29" s="466"/>
      <c r="P29" s="483"/>
      <c r="Q29" s="484"/>
      <c r="R29" s="485"/>
      <c r="S29" s="483"/>
      <c r="T29" s="470" t="str">
        <f t="shared" si="5"/>
        <v/>
      </c>
      <c r="V29" s="470"/>
      <c r="W29" s="471">
        <f t="shared" ref="W29:X29" si="8">W28</f>
        <v>2</v>
      </c>
      <c r="X29" s="471" t="e">
        <f t="shared" si="8"/>
        <v>#REF!</v>
      </c>
      <c r="Y29" s="471" t="e">
        <f t="shared" si="7"/>
        <v>#REF!</v>
      </c>
      <c r="Z29" s="471"/>
      <c r="AA29" s="471"/>
    </row>
    <row r="30" spans="1:217" s="457" customFormat="1" ht="15.75" customHeight="1" x14ac:dyDescent="0.15">
      <c r="B30" s="473"/>
      <c r="C30" s="474" t="str">
        <f>"   공      종 : "&amp;목록!D$7</f>
        <v xml:space="preserve">   공      종 : 이동식강관조립말비계</v>
      </c>
      <c r="D30" s="484"/>
      <c r="E30" s="476"/>
      <c r="F30" s="473"/>
      <c r="G30" s="478"/>
      <c r="H30" s="463" t="str">
        <f t="shared" si="4"/>
        <v xml:space="preserve">   공      종 : 이동식강관조립말비계</v>
      </c>
      <c r="I30" s="479"/>
      <c r="J30" s="480"/>
      <c r="K30" s="481"/>
      <c r="L30" s="482"/>
      <c r="M30" s="482"/>
      <c r="N30" s="482"/>
      <c r="O30" s="466"/>
      <c r="P30" s="483"/>
      <c r="Q30" s="484"/>
      <c r="R30" s="485"/>
      <c r="S30" s="483"/>
      <c r="T30" s="470" t="str">
        <f t="shared" si="5"/>
        <v/>
      </c>
      <c r="V30" s="470"/>
      <c r="W30" s="471">
        <f t="shared" ref="W30:X30" si="9">W29</f>
        <v>2</v>
      </c>
      <c r="X30" s="471" t="e">
        <f t="shared" si="9"/>
        <v>#REF!</v>
      </c>
      <c r="Y30" s="471" t="e">
        <f t="shared" si="7"/>
        <v>#REF!</v>
      </c>
      <c r="Z30" s="471"/>
      <c r="AA30" s="471"/>
    </row>
    <row r="31" spans="1:217" s="457" customFormat="1" ht="15.75" customHeight="1" x14ac:dyDescent="0.15">
      <c r="B31" s="473"/>
      <c r="C31" s="474" t="str">
        <f xml:space="preserve"> "   규      격 : "&amp;목록!F$7</f>
        <v xml:space="preserve">   규      격 : 3개월</v>
      </c>
      <c r="D31" s="484"/>
      <c r="E31" s="476"/>
      <c r="F31" s="473"/>
      <c r="G31" s="478"/>
      <c r="H31" s="463" t="str">
        <f t="shared" si="4"/>
        <v xml:space="preserve">   규      격 : 3개월</v>
      </c>
      <c r="I31" s="479"/>
      <c r="J31" s="480" t="s">
        <v>348</v>
      </c>
      <c r="K31" s="481"/>
      <c r="L31" s="482" t="s">
        <v>349</v>
      </c>
      <c r="M31" s="482"/>
      <c r="N31" s="482" t="s">
        <v>240</v>
      </c>
      <c r="O31" s="466"/>
      <c r="P31" s="483"/>
      <c r="Q31" s="484" t="s">
        <v>752</v>
      </c>
      <c r="R31" s="484"/>
      <c r="S31" s="483"/>
      <c r="T31" s="470" t="str">
        <f t="shared" si="5"/>
        <v>합계</v>
      </c>
      <c r="V31" s="470"/>
      <c r="W31" s="471">
        <f t="shared" ref="W31:X31" si="10">W30</f>
        <v>2</v>
      </c>
      <c r="X31" s="471" t="e">
        <f t="shared" si="10"/>
        <v>#REF!</v>
      </c>
      <c r="Y31" s="471" t="e">
        <f t="shared" si="7"/>
        <v>#REF!</v>
      </c>
      <c r="Z31" s="471"/>
      <c r="AA31" s="471"/>
    </row>
    <row r="32" spans="1:217" s="457" customFormat="1" ht="15.75" customHeight="1" x14ac:dyDescent="0.15">
      <c r="B32" s="473"/>
      <c r="C32" s="474" t="str">
        <f>"   단      위 : "&amp;목록!G$7</f>
        <v xml:space="preserve">   단      위 : 대</v>
      </c>
      <c r="D32" s="484"/>
      <c r="E32" s="476"/>
      <c r="F32" s="473"/>
      <c r="G32" s="478"/>
      <c r="H32" s="463" t="str">
        <f t="shared" si="4"/>
        <v xml:space="preserve">   단      위 : 대</v>
      </c>
      <c r="I32" s="479"/>
      <c r="J32" s="486">
        <f>K50</f>
        <v>28405</v>
      </c>
      <c r="K32" s="481"/>
      <c r="L32" s="487">
        <f>M50</f>
        <v>61900</v>
      </c>
      <c r="M32" s="482"/>
      <c r="N32" s="482">
        <f>O50</f>
        <v>0</v>
      </c>
      <c r="O32" s="466"/>
      <c r="P32" s="483"/>
      <c r="Q32" s="488">
        <f>J32+L32+N32</f>
        <v>90305</v>
      </c>
      <c r="R32" s="489"/>
      <c r="S32" s="483"/>
      <c r="T32" s="470" t="str">
        <f t="shared" si="5"/>
        <v>90305</v>
      </c>
      <c r="V32" s="470"/>
      <c r="W32" s="471">
        <f t="shared" ref="W32:X32" si="11">W31</f>
        <v>2</v>
      </c>
      <c r="X32" s="471" t="e">
        <f t="shared" si="11"/>
        <v>#REF!</v>
      </c>
      <c r="Y32" s="471" t="e">
        <f t="shared" si="7"/>
        <v>#REF!</v>
      </c>
      <c r="Z32" s="471"/>
      <c r="AA32" s="471"/>
    </row>
    <row r="33" spans="1:27" s="457" customFormat="1" ht="15.75" customHeight="1" x14ac:dyDescent="0.15">
      <c r="B33" s="473"/>
      <c r="C33" s="474"/>
      <c r="D33" s="484"/>
      <c r="E33" s="476"/>
      <c r="F33" s="473"/>
      <c r="G33" s="490"/>
      <c r="H33" s="463" t="str">
        <f t="shared" si="4"/>
        <v/>
      </c>
      <c r="I33" s="491"/>
      <c r="J33" s="482"/>
      <c r="K33" s="465"/>
      <c r="L33" s="482"/>
      <c r="M33" s="482"/>
      <c r="N33" s="482"/>
      <c r="O33" s="466"/>
      <c r="P33" s="492"/>
      <c r="Q33" s="493"/>
      <c r="R33" s="485"/>
      <c r="S33" s="492"/>
      <c r="T33" s="470" t="str">
        <f t="shared" si="5"/>
        <v/>
      </c>
      <c r="V33" s="470"/>
      <c r="W33" s="471">
        <f t="shared" ref="W33:X33" si="12">W32</f>
        <v>2</v>
      </c>
      <c r="X33" s="471" t="e">
        <f t="shared" si="12"/>
        <v>#REF!</v>
      </c>
      <c r="Y33" s="471" t="e">
        <f t="shared" si="7"/>
        <v>#REF!</v>
      </c>
      <c r="Z33" s="471"/>
      <c r="AA33" s="471"/>
    </row>
    <row r="34" spans="1:27" s="457" customFormat="1" ht="15.75" customHeight="1" x14ac:dyDescent="0.15">
      <c r="B34" s="899" t="s">
        <v>375</v>
      </c>
      <c r="C34" s="900"/>
      <c r="D34" s="907" t="s">
        <v>356</v>
      </c>
      <c r="E34" s="908"/>
      <c r="F34" s="903" t="s">
        <v>757</v>
      </c>
      <c r="G34" s="913" t="s">
        <v>758</v>
      </c>
      <c r="H34" s="463" t="str">
        <f t="shared" si="4"/>
        <v>단위</v>
      </c>
      <c r="I34" s="494"/>
      <c r="J34" s="495" t="s">
        <v>348</v>
      </c>
      <c r="K34" s="496"/>
      <c r="L34" s="495" t="s">
        <v>349</v>
      </c>
      <c r="M34" s="496"/>
      <c r="N34" s="497" t="s">
        <v>240</v>
      </c>
      <c r="O34" s="497"/>
      <c r="P34" s="498"/>
      <c r="Q34" s="818" t="s">
        <v>355</v>
      </c>
      <c r="R34" s="818"/>
      <c r="S34" s="499"/>
      <c r="T34" s="470" t="str">
        <f t="shared" si="5"/>
        <v>비  고</v>
      </c>
      <c r="V34" s="470"/>
      <c r="W34" s="471">
        <f t="shared" ref="W34:X34" si="13">W33</f>
        <v>2</v>
      </c>
      <c r="X34" s="471" t="e">
        <f t="shared" si="13"/>
        <v>#REF!</v>
      </c>
      <c r="Y34" s="471" t="e">
        <f t="shared" si="7"/>
        <v>#REF!</v>
      </c>
      <c r="Z34" s="471"/>
      <c r="AA34" s="471"/>
    </row>
    <row r="35" spans="1:27" s="457" customFormat="1" ht="15.75" customHeight="1" x14ac:dyDescent="0.15">
      <c r="B35" s="901"/>
      <c r="C35" s="902"/>
      <c r="D35" s="909"/>
      <c r="E35" s="910"/>
      <c r="F35" s="904"/>
      <c r="G35" s="914"/>
      <c r="H35" s="463" t="str">
        <f t="shared" si="4"/>
        <v/>
      </c>
      <c r="I35" s="500"/>
      <c r="J35" s="501" t="s">
        <v>353</v>
      </c>
      <c r="K35" s="501" t="s">
        <v>354</v>
      </c>
      <c r="L35" s="501" t="s">
        <v>353</v>
      </c>
      <c r="M35" s="502" t="s">
        <v>354</v>
      </c>
      <c r="N35" s="501" t="s">
        <v>353</v>
      </c>
      <c r="O35" s="501" t="s">
        <v>354</v>
      </c>
      <c r="P35" s="503"/>
      <c r="Q35" s="819"/>
      <c r="R35" s="819"/>
      <c r="S35" s="504"/>
      <c r="T35" s="470" t="str">
        <f t="shared" si="5"/>
        <v/>
      </c>
      <c r="V35" s="470"/>
      <c r="W35" s="471">
        <f t="shared" ref="W35:X35" si="14">W34</f>
        <v>2</v>
      </c>
      <c r="X35" s="471" t="e">
        <f t="shared" si="14"/>
        <v>#REF!</v>
      </c>
      <c r="Y35" s="471" t="e">
        <f t="shared" si="7"/>
        <v>#REF!</v>
      </c>
      <c r="Z35" s="471"/>
      <c r="AA35" s="471"/>
    </row>
    <row r="36" spans="1:27" s="457" customFormat="1" ht="15.75" customHeight="1" x14ac:dyDescent="0.15">
      <c r="A36" s="470"/>
      <c r="B36" s="95"/>
      <c r="C36" s="797" t="s">
        <v>609</v>
      </c>
      <c r="D36" s="798"/>
      <c r="E36" s="799" t="s">
        <v>610</v>
      </c>
      <c r="F36" s="800" t="s">
        <v>611</v>
      </c>
      <c r="G36" s="801">
        <f>TRUNC(7*6%,4)</f>
        <v>0.42</v>
      </c>
      <c r="H36" s="463" t="str">
        <f>CONCATENATE(C36,E36,F36)</f>
        <v>발판45*200*2,000장</v>
      </c>
      <c r="I36" s="451" t="str">
        <f t="shared" ref="I36:I41" si="15">CONCATENATE(C36,E36,F36)</f>
        <v>발판45*200*2,000장</v>
      </c>
      <c r="J36" s="506">
        <f>IF(OR($F36="인",$F36=""),"",VLOOKUP($H36,단가!$A:$S,19,FALSE))</f>
        <v>25500</v>
      </c>
      <c r="K36" s="507">
        <f>IF(J36="","",TRUNC($G36*J36,0))</f>
        <v>10710</v>
      </c>
      <c r="L36" s="506" t="str">
        <f>IF($F36="인",VLOOKUP($C:$C,노임!$C:$G,4,FALSE),"")</f>
        <v/>
      </c>
      <c r="M36" s="507" t="str">
        <f>IF(L36="","",TRUNC($G36*L36,0))</f>
        <v/>
      </c>
      <c r="N36" s="507"/>
      <c r="O36" s="507" t="str">
        <f>IF(N36="","",TRUNC($G36*N36,0))</f>
        <v/>
      </c>
      <c r="P36" s="508"/>
      <c r="Q36" s="509" t="str">
        <f>IF(F36="인","노임"&amp;VLOOKUP($C:$C,노임!C:G,5,FALSE)&amp;"번","단가"&amp;VLOOKUP($H:$H,단가!$A:$B,2,FALSE)&amp;"번")</f>
        <v>단가64번</v>
      </c>
      <c r="R36" s="510"/>
      <c r="S36" s="131"/>
      <c r="T36" s="470" t="str">
        <f t="shared" si="5"/>
        <v>단가64번</v>
      </c>
      <c r="V36" s="470"/>
      <c r="W36" s="471">
        <f t="shared" ref="W36:X36" si="16">W35</f>
        <v>2</v>
      </c>
      <c r="X36" s="471" t="e">
        <f t="shared" si="16"/>
        <v>#REF!</v>
      </c>
      <c r="Y36" s="471" t="e">
        <f t="shared" si="7"/>
        <v>#REF!</v>
      </c>
      <c r="Z36" s="471"/>
      <c r="AA36" s="471"/>
    </row>
    <row r="37" spans="1:27" s="457" customFormat="1" ht="15.75" customHeight="1" x14ac:dyDescent="0.15">
      <c r="A37" s="470"/>
      <c r="B37" s="95"/>
      <c r="C37" s="797" t="s">
        <v>594</v>
      </c>
      <c r="D37" s="798"/>
      <c r="E37" s="799" t="s">
        <v>595</v>
      </c>
      <c r="F37" s="800" t="s">
        <v>352</v>
      </c>
      <c r="G37" s="801">
        <f>TRUNC(2*6%,4)</f>
        <v>0.12</v>
      </c>
      <c r="H37" s="463" t="str">
        <f t="shared" si="4"/>
        <v>비계기본틀H:1,700*W:1,219EA</v>
      </c>
      <c r="I37" s="451" t="str">
        <f t="shared" si="15"/>
        <v>비계기본틀H:1,700*W:1,219EA</v>
      </c>
      <c r="J37" s="506">
        <f>IF(OR($F37="인",$F37=""),"",VLOOKUP($H37,단가!$A:$S,19,FALSE))</f>
        <v>24500</v>
      </c>
      <c r="K37" s="507">
        <f>IF(J37="","",TRUNC($G37*J37,0))</f>
        <v>2940</v>
      </c>
      <c r="L37" s="506" t="str">
        <f>IF($F37="인",VLOOKUP($C:$C,노임!$C:$G,4,FALSE),"")</f>
        <v/>
      </c>
      <c r="M37" s="507" t="str">
        <f>IF(L37="","",TRUNC($G37*L37,0))</f>
        <v/>
      </c>
      <c r="N37" s="507"/>
      <c r="O37" s="507" t="str">
        <f>IF(N37="","",TRUNC($G37*N37,0))</f>
        <v/>
      </c>
      <c r="P37" s="508"/>
      <c r="Q37" s="509" t="str">
        <f>IF(F37="인","노임"&amp;VLOOKUP($C:$C,노임!C:G,5,FALSE)&amp;"번","단가"&amp;VLOOKUP($H:$H,단가!$A:$B,2,FALSE)&amp;"번")</f>
        <v>단가12번</v>
      </c>
      <c r="R37" s="510"/>
      <c r="S37" s="131"/>
      <c r="T37" s="470" t="str">
        <f t="shared" si="5"/>
        <v>단가12번</v>
      </c>
      <c r="V37" s="470"/>
      <c r="W37" s="471">
        <f t="shared" ref="W37:X37" si="17">W36</f>
        <v>2</v>
      </c>
      <c r="X37" s="471" t="e">
        <f t="shared" si="17"/>
        <v>#REF!</v>
      </c>
      <c r="Y37" s="471" t="e">
        <f t="shared" si="7"/>
        <v>#REF!</v>
      </c>
      <c r="Z37" s="471"/>
      <c r="AA37" s="471"/>
    </row>
    <row r="38" spans="1:27" s="470" customFormat="1" ht="15.75" customHeight="1" x14ac:dyDescent="0.15">
      <c r="B38" s="95"/>
      <c r="C38" s="797" t="s">
        <v>603</v>
      </c>
      <c r="D38" s="798"/>
      <c r="E38" s="799" t="s">
        <v>604</v>
      </c>
      <c r="F38" s="800" t="s">
        <v>352</v>
      </c>
      <c r="G38" s="801">
        <f>TRUNC(4*9%,4)</f>
        <v>0.36</v>
      </c>
      <c r="H38" s="463" t="str">
        <f t="shared" si="4"/>
        <v>바퀴6"EA</v>
      </c>
      <c r="I38" s="451" t="str">
        <f t="shared" si="15"/>
        <v>바퀴6"EA</v>
      </c>
      <c r="J38" s="506">
        <f>IF(OR($F38="인",$F38=""),"",VLOOKUP($H38,단가!$A:$S,19,FALSE))</f>
        <v>9070</v>
      </c>
      <c r="K38" s="507">
        <f t="shared" ref="K38:K47" si="18">IF(J38="","",TRUNC($G38*J38,0))</f>
        <v>3265</v>
      </c>
      <c r="L38" s="506" t="str">
        <f>IF($F38="인",VLOOKUP($C:$C,노임!$C:$G,4,FALSE),"")</f>
        <v/>
      </c>
      <c r="M38" s="507" t="str">
        <f t="shared" ref="M38:M47" si="19">IF(L38="","",TRUNC($G38*L38,0))</f>
        <v/>
      </c>
      <c r="N38" s="507"/>
      <c r="O38" s="507" t="str">
        <f t="shared" ref="O38:O47" si="20">IF(N38="","",TRUNC($G38*N38,0))</f>
        <v/>
      </c>
      <c r="P38" s="508"/>
      <c r="Q38" s="509" t="str">
        <f>IF(F38="인","노임"&amp;VLOOKUP($C:$C,노임!C:G,5,FALSE)&amp;"번","단가"&amp;VLOOKUP($H:$H,단가!$A:$B,2,FALSE)&amp;"번")</f>
        <v>단가58번</v>
      </c>
      <c r="R38" s="510"/>
      <c r="S38" s="131"/>
      <c r="T38" s="470" t="str">
        <f t="shared" si="5"/>
        <v>단가58번</v>
      </c>
      <c r="W38" s="471">
        <f t="shared" ref="W38:X38" si="21">W37</f>
        <v>2</v>
      </c>
      <c r="X38" s="471" t="e">
        <f t="shared" si="21"/>
        <v>#REF!</v>
      </c>
      <c r="Y38" s="471" t="e">
        <f t="shared" si="7"/>
        <v>#REF!</v>
      </c>
      <c r="Z38" s="471"/>
      <c r="AA38" s="471"/>
    </row>
    <row r="39" spans="1:27" s="470" customFormat="1" ht="15.75" customHeight="1" x14ac:dyDescent="0.15">
      <c r="B39" s="95"/>
      <c r="C39" s="797" t="s">
        <v>592</v>
      </c>
      <c r="D39" s="798"/>
      <c r="E39" s="799" t="s">
        <v>593</v>
      </c>
      <c r="F39" s="800" t="s">
        <v>352</v>
      </c>
      <c r="G39" s="801">
        <f>TRUNC(2*6%,4)</f>
        <v>0.12</v>
      </c>
      <c r="H39" s="463" t="str">
        <f t="shared" si="4"/>
        <v>가세틀1219*1820, 4.5kgEA</v>
      </c>
      <c r="I39" s="451" t="str">
        <f t="shared" si="15"/>
        <v>가세틀1219*1820, 4.5kgEA</v>
      </c>
      <c r="J39" s="506">
        <f>IF(OR($F39="인",$F39=""),"",VLOOKUP($H39,단가!$A:$S,19,FALSE))</f>
        <v>8000</v>
      </c>
      <c r="K39" s="507">
        <f t="shared" si="18"/>
        <v>960</v>
      </c>
      <c r="L39" s="506" t="str">
        <f>IF($F39="인",VLOOKUP($C:$C,노임!$C:$G,4,FALSE),"")</f>
        <v/>
      </c>
      <c r="M39" s="507" t="str">
        <f t="shared" si="19"/>
        <v/>
      </c>
      <c r="N39" s="507"/>
      <c r="O39" s="507" t="str">
        <f t="shared" si="20"/>
        <v/>
      </c>
      <c r="P39" s="508"/>
      <c r="Q39" s="509" t="str">
        <f>IF(F39="인","노임"&amp;VLOOKUP($C:$C,노임!C:G,5,FALSE)&amp;"번","단가"&amp;VLOOKUP($H:$H,단가!$A:$B,2,FALSE)&amp;"번")</f>
        <v>단가11번</v>
      </c>
      <c r="R39" s="510"/>
      <c r="S39" s="131"/>
      <c r="T39" s="470" t="str">
        <f t="shared" si="5"/>
        <v>단가11번</v>
      </c>
      <c r="W39" s="471">
        <f t="shared" ref="W39:X39" si="22">W38</f>
        <v>2</v>
      </c>
      <c r="X39" s="471" t="e">
        <f t="shared" si="22"/>
        <v>#REF!</v>
      </c>
      <c r="Y39" s="471" t="e">
        <f t="shared" si="7"/>
        <v>#REF!</v>
      </c>
      <c r="Z39" s="471"/>
      <c r="AA39" s="471"/>
    </row>
    <row r="40" spans="1:27" s="470" customFormat="1" ht="15.75" customHeight="1" x14ac:dyDescent="0.15">
      <c r="B40" s="95"/>
      <c r="C40" s="797" t="s">
        <v>596</v>
      </c>
      <c r="D40" s="798"/>
      <c r="E40" s="799" t="s">
        <v>597</v>
      </c>
      <c r="F40" s="800" t="s">
        <v>352</v>
      </c>
      <c r="G40" s="801">
        <f>TRUNC(4*6%,4)</f>
        <v>0.24</v>
      </c>
      <c r="H40" s="463" t="str">
        <f t="shared" si="4"/>
        <v>수평띠장L:1829EA</v>
      </c>
      <c r="I40" s="451" t="str">
        <f t="shared" si="15"/>
        <v>수평띠장L:1829EA</v>
      </c>
      <c r="J40" s="506">
        <f>IF(OR($F40="인",$F40=""),"",VLOOKUP($H40,단가!$A:$S,19,FALSE))</f>
        <v>24000</v>
      </c>
      <c r="K40" s="507">
        <f t="shared" si="18"/>
        <v>5760</v>
      </c>
      <c r="L40" s="506" t="str">
        <f>IF($F40="인",VLOOKUP($C:$C,노임!$C:$G,4,FALSE),"")</f>
        <v/>
      </c>
      <c r="M40" s="507" t="str">
        <f t="shared" si="19"/>
        <v/>
      </c>
      <c r="N40" s="507"/>
      <c r="O40" s="507" t="str">
        <f t="shared" si="20"/>
        <v/>
      </c>
      <c r="P40" s="508"/>
      <c r="Q40" s="509" t="str">
        <f>IF(F40="인","노임"&amp;VLOOKUP($C:$C,노임!C:G,5,FALSE)&amp;"번","단가"&amp;VLOOKUP($H:$H,단가!$A:$B,2,FALSE)&amp;"번")</f>
        <v>단가13번</v>
      </c>
      <c r="R40" s="510"/>
      <c r="S40" s="131"/>
      <c r="T40" s="470" t="str">
        <f t="shared" si="5"/>
        <v>단가13번</v>
      </c>
      <c r="W40" s="471">
        <f t="shared" ref="W40:X40" si="23">W39</f>
        <v>2</v>
      </c>
      <c r="X40" s="471" t="e">
        <f t="shared" si="23"/>
        <v>#REF!</v>
      </c>
      <c r="Y40" s="471" t="e">
        <f t="shared" si="7"/>
        <v>#REF!</v>
      </c>
      <c r="Z40" s="471"/>
      <c r="AA40" s="471"/>
    </row>
    <row r="41" spans="1:27" s="470" customFormat="1" ht="15.75" customHeight="1" x14ac:dyDescent="0.15">
      <c r="B41" s="95"/>
      <c r="C41" s="797" t="s">
        <v>612</v>
      </c>
      <c r="D41" s="798"/>
      <c r="E41" s="799" t="s">
        <v>605</v>
      </c>
      <c r="F41" s="800" t="s">
        <v>352</v>
      </c>
      <c r="G41" s="801">
        <f>TRUNC(2*6%,4)</f>
        <v>0.12</v>
      </c>
      <c r="H41" s="463" t="str">
        <f t="shared" si="4"/>
        <v>손잡이L:1,219EA</v>
      </c>
      <c r="I41" s="451" t="str">
        <f t="shared" si="15"/>
        <v>손잡이L:1,219EA</v>
      </c>
      <c r="J41" s="506">
        <f>IF(OR($F41="인",$F41=""),"",VLOOKUP($H41,단가!$A:$S,19,FALSE))</f>
        <v>850</v>
      </c>
      <c r="K41" s="507">
        <f t="shared" si="18"/>
        <v>102</v>
      </c>
      <c r="L41" s="506" t="str">
        <f>IF($F41="인",VLOOKUP($C:$C,노임!$C:$G,4,FALSE),"")</f>
        <v/>
      </c>
      <c r="M41" s="507" t="str">
        <f t="shared" si="19"/>
        <v/>
      </c>
      <c r="N41" s="507"/>
      <c r="O41" s="507" t="str">
        <f t="shared" si="20"/>
        <v/>
      </c>
      <c r="P41" s="508"/>
      <c r="Q41" s="509" t="str">
        <f>IF(F41="인","노임"&amp;VLOOKUP($C:$C,노임!C:G,5,FALSE)&amp;"번","단가"&amp;VLOOKUP($H:$H,단가!$A:$B,2,FALSE)&amp;"번")</f>
        <v>단가88번</v>
      </c>
      <c r="R41" s="510"/>
      <c r="S41" s="131"/>
      <c r="T41" s="470" t="str">
        <f t="shared" si="5"/>
        <v>단가88번</v>
      </c>
      <c r="W41" s="471">
        <f t="shared" ref="W41:X41" si="24">W40</f>
        <v>2</v>
      </c>
      <c r="X41" s="471" t="e">
        <f t="shared" si="24"/>
        <v>#REF!</v>
      </c>
      <c r="Y41" s="471" t="e">
        <f t="shared" si="7"/>
        <v>#REF!</v>
      </c>
      <c r="Z41" s="471"/>
      <c r="AA41" s="471"/>
    </row>
    <row r="42" spans="1:27" s="470" customFormat="1" ht="15.75" customHeight="1" x14ac:dyDescent="0.15">
      <c r="B42" s="95"/>
      <c r="C42" s="797" t="s">
        <v>612</v>
      </c>
      <c r="D42" s="798"/>
      <c r="E42" s="799" t="s">
        <v>613</v>
      </c>
      <c r="F42" s="800" t="s">
        <v>352</v>
      </c>
      <c r="G42" s="801">
        <f>TRUNC(4*6%,4)</f>
        <v>0.24</v>
      </c>
      <c r="H42" s="463" t="str">
        <f t="shared" ref="H42:H47" si="25">CONCATENATE(C42,E42,F42)</f>
        <v>손잡이L:1,829EA</v>
      </c>
      <c r="I42" s="451" t="str">
        <f t="shared" ref="I42:I47" si="26">CONCATENATE(C42,E42,F42)</f>
        <v>손잡이L:1,829EA</v>
      </c>
      <c r="J42" s="506">
        <f>IF(OR($F42="인",$F42=""),"",VLOOKUP($H42,단가!$A:$S,19,FALSE))</f>
        <v>1200</v>
      </c>
      <c r="K42" s="507">
        <f t="shared" si="18"/>
        <v>288</v>
      </c>
      <c r="L42" s="506" t="str">
        <f>IF($F42="인",VLOOKUP($C:$C,노임!$C:$G,4,FALSE),"")</f>
        <v/>
      </c>
      <c r="M42" s="507" t="str">
        <f t="shared" si="19"/>
        <v/>
      </c>
      <c r="N42" s="507"/>
      <c r="O42" s="507" t="str">
        <f t="shared" si="20"/>
        <v/>
      </c>
      <c r="P42" s="508"/>
      <c r="Q42" s="509" t="str">
        <f>IF(F42="인","노임"&amp;VLOOKUP($C:$C,노임!C:G,5,FALSE)&amp;"번","단가"&amp;VLOOKUP($H:$H,단가!$A:$B,2,FALSE)&amp;"번")</f>
        <v>단가89번</v>
      </c>
      <c r="R42" s="513"/>
      <c r="S42" s="131"/>
      <c r="T42" s="470" t="str">
        <f t="shared" si="5"/>
        <v>단가89번</v>
      </c>
      <c r="W42" s="471">
        <f t="shared" ref="W42:X42" si="27">W41</f>
        <v>2</v>
      </c>
      <c r="X42" s="471" t="e">
        <f t="shared" si="27"/>
        <v>#REF!</v>
      </c>
      <c r="Y42" s="471" t="e">
        <f t="shared" si="7"/>
        <v>#REF!</v>
      </c>
      <c r="Z42" s="471"/>
      <c r="AA42" s="471"/>
    </row>
    <row r="43" spans="1:27" s="470" customFormat="1" ht="15.75" customHeight="1" x14ac:dyDescent="0.15">
      <c r="B43" s="95"/>
      <c r="C43" s="797" t="s">
        <v>606</v>
      </c>
      <c r="D43" s="798"/>
      <c r="E43" s="799" t="s">
        <v>605</v>
      </c>
      <c r="F43" s="800" t="s">
        <v>352</v>
      </c>
      <c r="G43" s="801">
        <f>TRUNC(4*6%,4)</f>
        <v>0.24</v>
      </c>
      <c r="H43" s="463" t="str">
        <f t="shared" si="25"/>
        <v>손잡이기둥L:1,219EA</v>
      </c>
      <c r="I43" s="451" t="str">
        <f t="shared" si="26"/>
        <v>손잡이기둥L:1,219EA</v>
      </c>
      <c r="J43" s="506">
        <f>IF(OR($F43="인",$F43=""),"",VLOOKUP($H43,단가!$A:$S,19,FALSE))</f>
        <v>2200</v>
      </c>
      <c r="K43" s="507">
        <f t="shared" si="18"/>
        <v>528</v>
      </c>
      <c r="L43" s="506" t="str">
        <f>IF($F43="인",VLOOKUP($C:$C,노임!$C:$G,4,FALSE),"")</f>
        <v/>
      </c>
      <c r="M43" s="507" t="str">
        <f t="shared" si="19"/>
        <v/>
      </c>
      <c r="N43" s="507"/>
      <c r="O43" s="507" t="str">
        <f t="shared" si="20"/>
        <v/>
      </c>
      <c r="P43" s="508"/>
      <c r="Q43" s="509" t="str">
        <f>IF(F43="인","노임"&amp;VLOOKUP($C:$C,노임!C:G,5,FALSE)&amp;"번","단가"&amp;VLOOKUP($H:$H,단가!$A:$B,2,FALSE)&amp;"번")</f>
        <v>단가90번</v>
      </c>
      <c r="R43" s="513"/>
      <c r="S43" s="131"/>
      <c r="T43" s="470" t="str">
        <f t="shared" si="5"/>
        <v>단가90번</v>
      </c>
      <c r="W43" s="471">
        <f t="shared" ref="W43:X43" si="28">W42</f>
        <v>2</v>
      </c>
      <c r="X43" s="471" t="e">
        <f t="shared" si="28"/>
        <v>#REF!</v>
      </c>
      <c r="Y43" s="471" t="e">
        <f t="shared" si="7"/>
        <v>#REF!</v>
      </c>
      <c r="Z43" s="471"/>
      <c r="AA43" s="471"/>
    </row>
    <row r="44" spans="1:27" s="470" customFormat="1" ht="15.75" customHeight="1" x14ac:dyDescent="0.15">
      <c r="B44" s="95"/>
      <c r="C44" s="797" t="s">
        <v>598</v>
      </c>
      <c r="D44" s="798"/>
      <c r="E44" s="799" t="s">
        <v>599</v>
      </c>
      <c r="F44" s="800" t="s">
        <v>352</v>
      </c>
      <c r="G44" s="801">
        <f>TRUNC(4*9%,4)</f>
        <v>0.36</v>
      </c>
      <c r="H44" s="463" t="str">
        <f t="shared" si="25"/>
        <v>쟈키Ø36*600EA</v>
      </c>
      <c r="I44" s="451" t="str">
        <f t="shared" si="26"/>
        <v>쟈키Ø36*600EA</v>
      </c>
      <c r="J44" s="506">
        <f>IF(OR($F44="인",$F44=""),"",VLOOKUP($H44,단가!$A:$S,19,FALSE))</f>
        <v>9500</v>
      </c>
      <c r="K44" s="507">
        <f t="shared" si="18"/>
        <v>3420</v>
      </c>
      <c r="L44" s="506" t="str">
        <f>IF($F44="인",VLOOKUP($C:$C,노임!$C:$G,4,FALSE),"")</f>
        <v/>
      </c>
      <c r="M44" s="507" t="str">
        <f t="shared" si="19"/>
        <v/>
      </c>
      <c r="N44" s="507"/>
      <c r="O44" s="507" t="str">
        <f t="shared" si="20"/>
        <v/>
      </c>
      <c r="P44" s="508"/>
      <c r="Q44" s="509" t="str">
        <f>IF(F44="인","노임"&amp;VLOOKUP($C:$C,노임!C:G,5,FALSE)&amp;"번","단가"&amp;VLOOKUP($H:$H,단가!$A:$B,2,FALSE)&amp;"번")</f>
        <v>단가14번</v>
      </c>
      <c r="R44" s="513"/>
      <c r="S44" s="131"/>
      <c r="T44" s="470" t="str">
        <f t="shared" si="5"/>
        <v>단가14번</v>
      </c>
      <c r="W44" s="471">
        <f t="shared" ref="W44:X44" si="29">W43</f>
        <v>2</v>
      </c>
      <c r="X44" s="471" t="e">
        <f t="shared" si="29"/>
        <v>#REF!</v>
      </c>
      <c r="Y44" s="471" t="e">
        <f t="shared" si="7"/>
        <v>#REF!</v>
      </c>
      <c r="Z44" s="471"/>
      <c r="AA44" s="471"/>
    </row>
    <row r="45" spans="1:27" s="470" customFormat="1" ht="15.75" customHeight="1" x14ac:dyDescent="0.15">
      <c r="B45" s="95"/>
      <c r="C45" s="797" t="s">
        <v>590</v>
      </c>
      <c r="D45" s="798"/>
      <c r="E45" s="799" t="s">
        <v>591</v>
      </c>
      <c r="F45" s="800" t="s">
        <v>352</v>
      </c>
      <c r="G45" s="801">
        <f>TRUNC(4*12%,4)</f>
        <v>0.48</v>
      </c>
      <c r="H45" s="463" t="str">
        <f>CONCATENATE(C45,E45,F45)</f>
        <v>이음철물연결핀, 단관비계EA</v>
      </c>
      <c r="I45" s="451" t="str">
        <f>CONCATENATE(C45,E45,F45)</f>
        <v>이음철물연결핀, 단관비계EA</v>
      </c>
      <c r="J45" s="506">
        <f>IF(OR($F45="인",$F45=""),"",VLOOKUP($H45,단가!$A:$S,19,FALSE))</f>
        <v>900</v>
      </c>
      <c r="K45" s="507">
        <f>IF(J45="","",TRUNC($G45*J45,0))</f>
        <v>432</v>
      </c>
      <c r="L45" s="506" t="str">
        <f>IF($F45="인",VLOOKUP($C:$C,노임!$C:$G,4,FALSE),"")</f>
        <v/>
      </c>
      <c r="M45" s="507" t="str">
        <f>IF(L45="","",TRUNC($G45*L45,0))</f>
        <v/>
      </c>
      <c r="N45" s="507"/>
      <c r="O45" s="507" t="str">
        <f>IF(N45="","",TRUNC($G45*N45,0))</f>
        <v/>
      </c>
      <c r="P45" s="508"/>
      <c r="Q45" s="509" t="str">
        <f>IF(F45="인","노임"&amp;VLOOKUP($C:$C,노임!C:G,5,FALSE)&amp;"번","단가"&amp;VLOOKUP($H:$H,단가!$A:$B,2,FALSE)&amp;"번")</f>
        <v>단가10번</v>
      </c>
      <c r="R45" s="513"/>
      <c r="S45" s="131"/>
      <c r="T45" s="470" t="str">
        <f t="shared" si="5"/>
        <v>단가10번</v>
      </c>
      <c r="W45" s="471">
        <f t="shared" ref="W45:X45" si="30">W44</f>
        <v>2</v>
      </c>
      <c r="X45" s="471" t="e">
        <f t="shared" si="30"/>
        <v>#REF!</v>
      </c>
      <c r="Y45" s="471" t="e">
        <f t="shared" si="7"/>
        <v>#REF!</v>
      </c>
      <c r="Z45" s="471"/>
      <c r="AA45" s="471"/>
    </row>
    <row r="46" spans="1:27" s="470" customFormat="1" ht="15.75" customHeight="1" x14ac:dyDescent="0.15">
      <c r="B46" s="95"/>
      <c r="C46" s="797" t="s">
        <v>1438</v>
      </c>
      <c r="D46" s="798"/>
      <c r="E46" s="799"/>
      <c r="F46" s="800" t="s">
        <v>1439</v>
      </c>
      <c r="G46" s="801">
        <v>0.25</v>
      </c>
      <c r="H46" s="463" t="str">
        <f t="shared" si="25"/>
        <v>비계공인</v>
      </c>
      <c r="I46" s="451" t="str">
        <f t="shared" si="26"/>
        <v>비계공인</v>
      </c>
      <c r="J46" s="506" t="str">
        <f>IF(OR($F46="인",$F46=""),"",VLOOKUP($H46,단가!$A:$S,19,FALSE))</f>
        <v/>
      </c>
      <c r="K46" s="507" t="str">
        <f t="shared" si="18"/>
        <v/>
      </c>
      <c r="L46" s="506">
        <f>IF($F46="인",VLOOKUP($C:$C,노임!$C:$G,4,FALSE),"")</f>
        <v>187771</v>
      </c>
      <c r="M46" s="507">
        <f t="shared" si="19"/>
        <v>46942</v>
      </c>
      <c r="N46" s="507"/>
      <c r="O46" s="507" t="str">
        <f t="shared" si="20"/>
        <v/>
      </c>
      <c r="P46" s="508"/>
      <c r="Q46" s="509" t="str">
        <f>IF(F46="인","노임"&amp;VLOOKUP($C:$C,노임!C:G,5,FALSE)&amp;"번","단가"&amp;VLOOKUP($H:$H,단가!$A:$B,2,FALSE)&amp;"번")</f>
        <v>노임1006번</v>
      </c>
      <c r="R46" s="513"/>
      <c r="S46" s="131"/>
      <c r="T46" s="470" t="str">
        <f t="shared" si="5"/>
        <v>노임1006번</v>
      </c>
      <c r="W46" s="471">
        <f t="shared" ref="W46:X46" si="31">W45</f>
        <v>2</v>
      </c>
      <c r="X46" s="471" t="e">
        <f t="shared" si="31"/>
        <v>#REF!</v>
      </c>
      <c r="Y46" s="471" t="e">
        <f t="shared" si="7"/>
        <v>#REF!</v>
      </c>
      <c r="Z46" s="471"/>
      <c r="AA46" s="471"/>
    </row>
    <row r="47" spans="1:27" s="470" customFormat="1" ht="15.75" customHeight="1" x14ac:dyDescent="0.15">
      <c r="B47" s="95"/>
      <c r="C47" s="797" t="s">
        <v>245</v>
      </c>
      <c r="D47" s="798"/>
      <c r="E47" s="799"/>
      <c r="F47" s="800" t="s">
        <v>364</v>
      </c>
      <c r="G47" s="801">
        <v>0.14000000000000001</v>
      </c>
      <c r="H47" s="463" t="str">
        <f t="shared" si="25"/>
        <v>보통인부인</v>
      </c>
      <c r="I47" s="451" t="str">
        <f t="shared" si="26"/>
        <v>보통인부인</v>
      </c>
      <c r="J47" s="506" t="str">
        <f>IF(OR($F47="인",$F47=""),"",VLOOKUP($H47,단가!$A:$S,19,FALSE))</f>
        <v/>
      </c>
      <c r="K47" s="507" t="str">
        <f t="shared" si="18"/>
        <v/>
      </c>
      <c r="L47" s="506">
        <f>IF($F47="인",VLOOKUP($C:$C,노임!$C:$G,4,FALSE),"")</f>
        <v>106846</v>
      </c>
      <c r="M47" s="507">
        <f t="shared" si="19"/>
        <v>14958</v>
      </c>
      <c r="N47" s="507"/>
      <c r="O47" s="507" t="str">
        <f t="shared" si="20"/>
        <v/>
      </c>
      <c r="P47" s="508"/>
      <c r="Q47" s="509" t="str">
        <f>IF(F47="인","노임"&amp;VLOOKUP($C:$C,노임!C:G,5,FALSE)&amp;"번","단가"&amp;VLOOKUP($H:$H,단가!$A:$B,2,FALSE)&amp;"번")</f>
        <v>노임1002번</v>
      </c>
      <c r="R47" s="513"/>
      <c r="S47" s="131"/>
      <c r="T47" s="470" t="str">
        <f t="shared" si="5"/>
        <v>노임1002번</v>
      </c>
      <c r="W47" s="471">
        <f t="shared" ref="W47:X47" si="32">W46</f>
        <v>2</v>
      </c>
      <c r="X47" s="471" t="e">
        <f t="shared" si="32"/>
        <v>#REF!</v>
      </c>
      <c r="Y47" s="471" t="e">
        <f t="shared" si="7"/>
        <v>#REF!</v>
      </c>
      <c r="Z47" s="471"/>
      <c r="AA47" s="471"/>
    </row>
    <row r="48" spans="1:27" s="470" customFormat="1" ht="15.75" customHeight="1" x14ac:dyDescent="0.15">
      <c r="B48" s="95"/>
      <c r="C48" s="140"/>
      <c r="D48" s="95"/>
      <c r="E48" s="141"/>
      <c r="F48" s="94"/>
      <c r="G48" s="505"/>
      <c r="H48" s="463" t="str">
        <f t="shared" si="4"/>
        <v/>
      </c>
      <c r="I48" s="451"/>
      <c r="J48" s="506"/>
      <c r="K48" s="507"/>
      <c r="L48" s="506"/>
      <c r="M48" s="507"/>
      <c r="N48" s="507"/>
      <c r="O48" s="507"/>
      <c r="P48" s="535"/>
      <c r="Q48" s="512"/>
      <c r="R48" s="513"/>
      <c r="S48" s="131"/>
      <c r="T48" s="470" t="str">
        <f t="shared" si="5"/>
        <v/>
      </c>
      <c r="W48" s="471">
        <f t="shared" ref="W48:X48" si="33">W47</f>
        <v>2</v>
      </c>
      <c r="X48" s="471" t="e">
        <f t="shared" si="33"/>
        <v>#REF!</v>
      </c>
      <c r="Y48" s="471" t="e">
        <f t="shared" si="7"/>
        <v>#REF!</v>
      </c>
      <c r="Z48" s="471"/>
      <c r="AA48" s="471"/>
    </row>
    <row r="49" spans="1:27" s="470" customFormat="1" ht="15.75" customHeight="1" x14ac:dyDescent="0.15">
      <c r="B49" s="95"/>
      <c r="C49" s="140"/>
      <c r="D49" s="95"/>
      <c r="E49" s="141"/>
      <c r="F49" s="94"/>
      <c r="G49" s="505"/>
      <c r="H49" s="463" t="str">
        <f t="shared" si="4"/>
        <v/>
      </c>
      <c r="I49" s="451"/>
      <c r="J49" s="506"/>
      <c r="K49" s="507"/>
      <c r="L49" s="506"/>
      <c r="M49" s="507"/>
      <c r="N49" s="507"/>
      <c r="O49" s="507"/>
      <c r="P49" s="535"/>
      <c r="Q49" s="512"/>
      <c r="R49" s="513"/>
      <c r="S49" s="131"/>
      <c r="T49" s="470" t="str">
        <f t="shared" si="5"/>
        <v/>
      </c>
      <c r="W49" s="471">
        <f t="shared" ref="W49:X49" si="34">W48</f>
        <v>2</v>
      </c>
      <c r="X49" s="471" t="e">
        <f t="shared" si="34"/>
        <v>#REF!</v>
      </c>
      <c r="Y49" s="471" t="e">
        <f t="shared" si="7"/>
        <v>#REF!</v>
      </c>
      <c r="Z49" s="471"/>
      <c r="AA49" s="471"/>
    </row>
    <row r="50" spans="1:27" s="470" customFormat="1" ht="15.75" customHeight="1" x14ac:dyDescent="0.15">
      <c r="A50" s="457"/>
      <c r="B50" s="514" t="s">
        <v>759</v>
      </c>
      <c r="C50" s="515"/>
      <c r="D50" s="516"/>
      <c r="E50" s="517"/>
      <c r="F50" s="518"/>
      <c r="G50" s="519"/>
      <c r="H50" s="463" t="str">
        <f t="shared" si="4"/>
        <v/>
      </c>
      <c r="I50" s="520">
        <f>목록!$B$7</f>
        <v>2</v>
      </c>
      <c r="J50" s="521"/>
      <c r="K50" s="522">
        <f>SUM(K36:K49)</f>
        <v>28405</v>
      </c>
      <c r="L50" s="521"/>
      <c r="M50" s="522">
        <f>SUM(M36:M49)</f>
        <v>61900</v>
      </c>
      <c r="N50" s="521"/>
      <c r="O50" s="522">
        <f>SUM(O36:O49)</f>
        <v>0</v>
      </c>
      <c r="P50" s="536"/>
      <c r="Q50" s="512"/>
      <c r="R50" s="513"/>
      <c r="S50" s="537"/>
      <c r="T50" s="470" t="str">
        <f t="shared" si="5"/>
        <v/>
      </c>
      <c r="W50" s="471">
        <f t="shared" ref="W50:X50" si="35">W49</f>
        <v>2</v>
      </c>
      <c r="X50" s="471" t="e">
        <f t="shared" si="35"/>
        <v>#REF!</v>
      </c>
      <c r="Y50" s="471" t="e">
        <f t="shared" si="7"/>
        <v>#REF!</v>
      </c>
      <c r="Z50" s="471"/>
      <c r="AA50" s="471"/>
    </row>
    <row r="51" spans="1:27" s="470" customFormat="1" ht="15.75" customHeight="1" x14ac:dyDescent="0.15">
      <c r="B51" s="453"/>
      <c r="C51" s="209" t="s">
        <v>1008</v>
      </c>
      <c r="D51" s="95"/>
      <c r="E51" s="141"/>
      <c r="F51" s="94"/>
      <c r="G51" s="505"/>
      <c r="H51" s="463" t="str">
        <f t="shared" si="4"/>
        <v>※ 건축표준품셈 : 2-6-4 강관조립말비계(이동식) (2-6-6 공기에 대한 손율 중, 3개월 적용)</v>
      </c>
      <c r="I51" s="451"/>
      <c r="J51" s="506"/>
      <c r="K51" s="507"/>
      <c r="L51" s="506"/>
      <c r="M51" s="507"/>
      <c r="N51" s="507"/>
      <c r="O51" s="507"/>
      <c r="P51" s="535"/>
      <c r="Q51" s="512"/>
      <c r="R51" s="513"/>
      <c r="S51" s="131"/>
      <c r="T51" s="470" t="str">
        <f t="shared" si="5"/>
        <v/>
      </c>
      <c r="W51" s="615">
        <f t="shared" ref="W51:X51" si="36">W50</f>
        <v>2</v>
      </c>
      <c r="X51" s="471" t="e">
        <f t="shared" si="36"/>
        <v>#REF!</v>
      </c>
      <c r="Y51" s="471" t="e">
        <f t="shared" si="7"/>
        <v>#REF!</v>
      </c>
      <c r="Z51" s="471"/>
      <c r="AA51" s="471"/>
    </row>
    <row r="52" spans="1:27" s="457" customFormat="1" ht="15.75" customHeight="1" x14ac:dyDescent="0.15">
      <c r="A52" s="470"/>
      <c r="B52" s="453"/>
      <c r="C52" s="209"/>
      <c r="D52" s="95"/>
      <c r="E52" s="141"/>
      <c r="F52" s="94"/>
      <c r="G52" s="505"/>
      <c r="H52" s="463" t="str">
        <f t="shared" si="4"/>
        <v/>
      </c>
      <c r="I52" s="451"/>
      <c r="J52" s="506"/>
      <c r="K52" s="507"/>
      <c r="L52" s="506"/>
      <c r="M52" s="507"/>
      <c r="N52" s="507"/>
      <c r="O52" s="507"/>
      <c r="P52" s="535"/>
      <c r="Q52" s="512"/>
      <c r="R52" s="513"/>
      <c r="S52" s="131"/>
      <c r="T52" s="470" t="str">
        <f t="shared" si="5"/>
        <v/>
      </c>
      <c r="V52" s="470"/>
      <c r="W52" s="471">
        <f t="shared" ref="W52:X52" si="37">W51</f>
        <v>2</v>
      </c>
      <c r="X52" s="471" t="e">
        <f t="shared" si="37"/>
        <v>#REF!</v>
      </c>
      <c r="Y52" s="471" t="e">
        <f t="shared" si="7"/>
        <v>#REF!</v>
      </c>
      <c r="Z52" s="471"/>
      <c r="AA52" s="471"/>
    </row>
    <row r="53" spans="1:27" s="470" customFormat="1" ht="15.75" customHeight="1" x14ac:dyDescent="0.15">
      <c r="A53" s="457"/>
      <c r="B53" s="514"/>
      <c r="C53" s="515"/>
      <c r="D53" s="516"/>
      <c r="E53" s="517"/>
      <c r="F53" s="518"/>
      <c r="G53" s="519"/>
      <c r="H53" s="463" t="str">
        <f t="shared" si="4"/>
        <v/>
      </c>
      <c r="I53" s="520"/>
      <c r="J53" s="521"/>
      <c r="K53" s="522"/>
      <c r="L53" s="521"/>
      <c r="M53" s="522"/>
      <c r="N53" s="521"/>
      <c r="O53" s="522"/>
      <c r="P53" s="535"/>
      <c r="Q53" s="512"/>
      <c r="R53" s="513"/>
      <c r="S53" s="131"/>
      <c r="T53" s="470" t="str">
        <f t="shared" si="5"/>
        <v/>
      </c>
      <c r="W53" s="471">
        <f t="shared" ref="W53:X53" si="38">W52</f>
        <v>2</v>
      </c>
      <c r="X53" s="471" t="e">
        <f t="shared" si="38"/>
        <v>#REF!</v>
      </c>
      <c r="Y53" s="471" t="e">
        <f t="shared" ref="Y53:Y79" si="39">X53-W53</f>
        <v>#REF!</v>
      </c>
      <c r="Z53" s="471"/>
      <c r="AA53" s="471"/>
    </row>
    <row r="54" spans="1:27" s="470" customFormat="1" ht="15.75" customHeight="1" x14ac:dyDescent="0.15">
      <c r="A54" s="457"/>
      <c r="B54" s="457"/>
      <c r="C54" s="458"/>
      <c r="D54" s="459"/>
      <c r="E54" s="460"/>
      <c r="F54" s="461"/>
      <c r="G54" s="462"/>
      <c r="H54" s="463" t="str">
        <f t="shared" ref="H54:H79" si="40">CONCATENATE(C54,E54,F54)</f>
        <v/>
      </c>
      <c r="I54" s="464"/>
      <c r="J54" s="465"/>
      <c r="K54" s="465"/>
      <c r="L54" s="465"/>
      <c r="M54" s="465"/>
      <c r="N54" s="465"/>
      <c r="O54" s="466"/>
      <c r="P54" s="467"/>
      <c r="Q54" s="468"/>
      <c r="R54" s="469"/>
      <c r="S54" s="467"/>
      <c r="T54" s="470" t="str">
        <f t="shared" ref="T54:T79" si="41">CONCATENATE(Q54,R54)</f>
        <v/>
      </c>
      <c r="W54" s="533">
        <f t="shared" ref="W54" si="42">I76</f>
        <v>3</v>
      </c>
      <c r="X54" s="533" t="e">
        <f t="shared" ref="X54" si="43">X53+1</f>
        <v>#REF!</v>
      </c>
      <c r="Y54" s="533" t="e">
        <f t="shared" si="39"/>
        <v>#REF!</v>
      </c>
      <c r="Z54" s="533"/>
      <c r="AA54" s="533"/>
    </row>
    <row r="55" spans="1:27" s="457" customFormat="1" ht="15.75" customHeight="1" x14ac:dyDescent="0.15">
      <c r="B55" s="473"/>
      <c r="C55" s="474" t="str">
        <f>"   항목번호 : "&amp;목록!L$8</f>
        <v xml:space="preserve">   항목번호 : 제3호표</v>
      </c>
      <c r="D55" s="475">
        <f>목록!B$8</f>
        <v>3</v>
      </c>
      <c r="E55" s="476"/>
      <c r="F55" s="473"/>
      <c r="G55" s="478"/>
      <c r="H55" s="463" t="str">
        <f t="shared" si="40"/>
        <v xml:space="preserve">   항목번호 : 제3호표</v>
      </c>
      <c r="I55" s="479"/>
      <c r="J55" s="480"/>
      <c r="K55" s="481"/>
      <c r="L55" s="482"/>
      <c r="M55" s="482"/>
      <c r="N55" s="482"/>
      <c r="O55" s="466"/>
      <c r="P55" s="483"/>
      <c r="Q55" s="484"/>
      <c r="R55" s="485"/>
      <c r="S55" s="483"/>
      <c r="T55" s="470" t="str">
        <f t="shared" si="41"/>
        <v/>
      </c>
      <c r="V55" s="470"/>
      <c r="W55" s="471">
        <f t="shared" ref="W55:X55" si="44">W54</f>
        <v>3</v>
      </c>
      <c r="X55" s="471" t="e">
        <f t="shared" si="44"/>
        <v>#REF!</v>
      </c>
      <c r="Y55" s="471" t="e">
        <f t="shared" si="39"/>
        <v>#REF!</v>
      </c>
      <c r="Z55" s="471"/>
      <c r="AA55" s="471"/>
    </row>
    <row r="56" spans="1:27" s="457" customFormat="1" ht="15.75" customHeight="1" x14ac:dyDescent="0.15">
      <c r="B56" s="473"/>
      <c r="C56" s="474" t="str">
        <f>"   공      종 : "&amp;목록!D$8</f>
        <v xml:space="preserve">   공      종 : 현장정리정돈</v>
      </c>
      <c r="D56" s="484"/>
      <c r="E56" s="476"/>
      <c r="F56" s="473"/>
      <c r="G56" s="478"/>
      <c r="H56" s="463" t="str">
        <f t="shared" si="40"/>
        <v xml:space="preserve">   공      종 : 현장정리정돈</v>
      </c>
      <c r="I56" s="479"/>
      <c r="J56" s="480"/>
      <c r="K56" s="481"/>
      <c r="L56" s="482"/>
      <c r="M56" s="482"/>
      <c r="N56" s="482"/>
      <c r="O56" s="466"/>
      <c r="P56" s="483"/>
      <c r="Q56" s="484"/>
      <c r="R56" s="485"/>
      <c r="S56" s="483"/>
      <c r="T56" s="470" t="str">
        <f t="shared" si="41"/>
        <v/>
      </c>
      <c r="V56" s="470"/>
      <c r="W56" s="471">
        <f t="shared" ref="W56:X56" si="45">W55</f>
        <v>3</v>
      </c>
      <c r="X56" s="471" t="e">
        <f t="shared" si="45"/>
        <v>#REF!</v>
      </c>
      <c r="Y56" s="471" t="e">
        <f t="shared" si="39"/>
        <v>#REF!</v>
      </c>
      <c r="Z56" s="471"/>
      <c r="AA56" s="471"/>
    </row>
    <row r="57" spans="1:27" s="457" customFormat="1" ht="15.75" customHeight="1" x14ac:dyDescent="0.15">
      <c r="B57" s="473"/>
      <c r="C57" s="474" t="str">
        <f xml:space="preserve"> "   규      격 : "&amp;목록!F$8</f>
        <v xml:space="preserve">   규      격 : 준공청소 포함</v>
      </c>
      <c r="D57" s="484"/>
      <c r="E57" s="476"/>
      <c r="F57" s="473"/>
      <c r="G57" s="478"/>
      <c r="H57" s="463" t="str">
        <f t="shared" si="40"/>
        <v xml:space="preserve">   규      격 : 준공청소 포함</v>
      </c>
      <c r="I57" s="479"/>
      <c r="J57" s="480" t="s">
        <v>348</v>
      </c>
      <c r="K57" s="481"/>
      <c r="L57" s="482" t="s">
        <v>349</v>
      </c>
      <c r="M57" s="482"/>
      <c r="N57" s="482" t="s">
        <v>240</v>
      </c>
      <c r="O57" s="466"/>
      <c r="P57" s="483"/>
      <c r="Q57" s="484" t="s">
        <v>752</v>
      </c>
      <c r="R57" s="484"/>
      <c r="S57" s="483"/>
      <c r="T57" s="470" t="str">
        <f t="shared" si="41"/>
        <v>합계</v>
      </c>
      <c r="V57" s="470"/>
      <c r="W57" s="471">
        <f t="shared" ref="W57:X57" si="46">W56</f>
        <v>3</v>
      </c>
      <c r="X57" s="471" t="e">
        <f t="shared" si="46"/>
        <v>#REF!</v>
      </c>
      <c r="Y57" s="471" t="e">
        <f t="shared" si="39"/>
        <v>#REF!</v>
      </c>
      <c r="Z57" s="471"/>
      <c r="AA57" s="471"/>
    </row>
    <row r="58" spans="1:27" s="457" customFormat="1" ht="15.75" customHeight="1" x14ac:dyDescent="0.15">
      <c r="B58" s="473"/>
      <c r="C58" s="474" t="str">
        <f>"   단      위 : "&amp;목록!G$8</f>
        <v xml:space="preserve">   단      위 : ㎡</v>
      </c>
      <c r="D58" s="484"/>
      <c r="E58" s="476"/>
      <c r="F58" s="473"/>
      <c r="G58" s="478"/>
      <c r="H58" s="463" t="str">
        <f t="shared" si="40"/>
        <v xml:space="preserve">   단      위 : ㎡</v>
      </c>
      <c r="I58" s="479"/>
      <c r="J58" s="486">
        <f>K76</f>
        <v>373</v>
      </c>
      <c r="K58" s="481"/>
      <c r="L58" s="487">
        <f>M76</f>
        <v>7479</v>
      </c>
      <c r="M58" s="482"/>
      <c r="N58" s="482">
        <f>O76</f>
        <v>0</v>
      </c>
      <c r="O58" s="466"/>
      <c r="P58" s="483"/>
      <c r="Q58" s="488">
        <f>J58+L58+N58</f>
        <v>7852</v>
      </c>
      <c r="R58" s="489"/>
      <c r="S58" s="483"/>
      <c r="T58" s="470" t="str">
        <f t="shared" si="41"/>
        <v>7852</v>
      </c>
      <c r="V58" s="470"/>
      <c r="W58" s="471">
        <f t="shared" ref="W58:X58" si="47">W57</f>
        <v>3</v>
      </c>
      <c r="X58" s="471" t="e">
        <f t="shared" si="47"/>
        <v>#REF!</v>
      </c>
      <c r="Y58" s="471" t="e">
        <f t="shared" si="39"/>
        <v>#REF!</v>
      </c>
      <c r="Z58" s="471"/>
      <c r="AA58" s="471"/>
    </row>
    <row r="59" spans="1:27" s="457" customFormat="1" ht="15.75" customHeight="1" x14ac:dyDescent="0.15">
      <c r="B59" s="473"/>
      <c r="C59" s="474"/>
      <c r="D59" s="484"/>
      <c r="E59" s="476"/>
      <c r="F59" s="473"/>
      <c r="G59" s="490"/>
      <c r="H59" s="463" t="str">
        <f t="shared" si="40"/>
        <v/>
      </c>
      <c r="I59" s="491"/>
      <c r="J59" s="482"/>
      <c r="K59" s="465"/>
      <c r="L59" s="482"/>
      <c r="M59" s="482"/>
      <c r="N59" s="482"/>
      <c r="O59" s="466"/>
      <c r="P59" s="492"/>
      <c r="Q59" s="493"/>
      <c r="R59" s="485"/>
      <c r="S59" s="492"/>
      <c r="T59" s="470" t="str">
        <f t="shared" si="41"/>
        <v/>
      </c>
      <c r="V59" s="470"/>
      <c r="W59" s="471">
        <f t="shared" ref="W59:X59" si="48">W58</f>
        <v>3</v>
      </c>
      <c r="X59" s="471" t="e">
        <f t="shared" si="48"/>
        <v>#REF!</v>
      </c>
      <c r="Y59" s="471" t="e">
        <f t="shared" si="39"/>
        <v>#REF!</v>
      </c>
      <c r="Z59" s="471"/>
      <c r="AA59" s="471"/>
    </row>
    <row r="60" spans="1:27" s="457" customFormat="1" ht="15.75" customHeight="1" x14ac:dyDescent="0.15">
      <c r="B60" s="899" t="s">
        <v>375</v>
      </c>
      <c r="C60" s="900"/>
      <c r="D60" s="907" t="s">
        <v>356</v>
      </c>
      <c r="E60" s="908"/>
      <c r="F60" s="903" t="s">
        <v>753</v>
      </c>
      <c r="G60" s="913" t="s">
        <v>754</v>
      </c>
      <c r="H60" s="463" t="str">
        <f t="shared" si="40"/>
        <v>단위</v>
      </c>
      <c r="I60" s="494"/>
      <c r="J60" s="495" t="s">
        <v>348</v>
      </c>
      <c r="K60" s="496"/>
      <c r="L60" s="495" t="s">
        <v>349</v>
      </c>
      <c r="M60" s="496"/>
      <c r="N60" s="497" t="s">
        <v>240</v>
      </c>
      <c r="O60" s="497"/>
      <c r="P60" s="498"/>
      <c r="Q60" s="818" t="s">
        <v>355</v>
      </c>
      <c r="R60" s="818"/>
      <c r="S60" s="499"/>
      <c r="T60" s="470" t="str">
        <f t="shared" si="41"/>
        <v>비  고</v>
      </c>
      <c r="V60" s="470"/>
      <c r="W60" s="471">
        <f t="shared" ref="W60:X60" si="49">W59</f>
        <v>3</v>
      </c>
      <c r="X60" s="471" t="e">
        <f t="shared" si="49"/>
        <v>#REF!</v>
      </c>
      <c r="Y60" s="471" t="e">
        <f t="shared" si="39"/>
        <v>#REF!</v>
      </c>
      <c r="Z60" s="471"/>
      <c r="AA60" s="471"/>
    </row>
    <row r="61" spans="1:27" s="457" customFormat="1" ht="15.75" customHeight="1" x14ac:dyDescent="0.15">
      <c r="B61" s="901"/>
      <c r="C61" s="902"/>
      <c r="D61" s="909"/>
      <c r="E61" s="910"/>
      <c r="F61" s="904"/>
      <c r="G61" s="914"/>
      <c r="H61" s="463" t="str">
        <f t="shared" si="40"/>
        <v/>
      </c>
      <c r="I61" s="500"/>
      <c r="J61" s="501" t="s">
        <v>353</v>
      </c>
      <c r="K61" s="501" t="s">
        <v>354</v>
      </c>
      <c r="L61" s="501" t="s">
        <v>353</v>
      </c>
      <c r="M61" s="502" t="s">
        <v>354</v>
      </c>
      <c r="N61" s="501" t="s">
        <v>353</v>
      </c>
      <c r="O61" s="501" t="s">
        <v>354</v>
      </c>
      <c r="P61" s="503"/>
      <c r="Q61" s="819"/>
      <c r="R61" s="819"/>
      <c r="S61" s="504"/>
      <c r="T61" s="470" t="str">
        <f t="shared" si="41"/>
        <v/>
      </c>
      <c r="V61" s="470"/>
      <c r="W61" s="471">
        <f t="shared" ref="W61:X61" si="50">W60</f>
        <v>3</v>
      </c>
      <c r="X61" s="471" t="e">
        <f t="shared" si="50"/>
        <v>#REF!</v>
      </c>
      <c r="Y61" s="471" t="e">
        <f t="shared" si="39"/>
        <v>#REF!</v>
      </c>
      <c r="Z61" s="471"/>
      <c r="AA61" s="471"/>
    </row>
    <row r="62" spans="1:27" s="457" customFormat="1" ht="15.75" customHeight="1" x14ac:dyDescent="0.15">
      <c r="A62" s="470"/>
      <c r="B62" s="95"/>
      <c r="C62" s="140" t="s">
        <v>767</v>
      </c>
      <c r="D62" s="95"/>
      <c r="E62" s="141"/>
      <c r="F62" s="94" t="s">
        <v>750</v>
      </c>
      <c r="G62" s="505">
        <v>7.0000000000000007E-2</v>
      </c>
      <c r="H62" s="463" t="str">
        <f t="shared" si="40"/>
        <v>보통인부인</v>
      </c>
      <c r="I62" s="451" t="str">
        <f>CONCATENATE(C62,E62,F62)</f>
        <v>보통인부인</v>
      </c>
      <c r="J62" s="506" t="str">
        <f>IF(OR($F62="인",$F62=""),"",VLOOKUP($H62,단가!$A:$S,19,FALSE))</f>
        <v/>
      </c>
      <c r="K62" s="507" t="str">
        <f>IF(J62="","",TRUNC($G62*J62,0))</f>
        <v/>
      </c>
      <c r="L62" s="506">
        <f>IF($F62="인",VLOOKUP($C:$C,노임!$C:$G,4,FALSE),"")</f>
        <v>106846</v>
      </c>
      <c r="M62" s="507">
        <f>IF(L62="","",TRUNC($G62*L62,0))</f>
        <v>7479</v>
      </c>
      <c r="N62" s="507"/>
      <c r="O62" s="507" t="str">
        <f>IF(N62="","",TRUNC($G62*N62,0))</f>
        <v/>
      </c>
      <c r="P62" s="508"/>
      <c r="Q62" s="509" t="str">
        <f>IF(F62="인","노임"&amp;VLOOKUP($C:$C,노임!C:G,5,FALSE)&amp;"번","단가"&amp;VLOOKUP($H:$H,단가!$A:$B,2,FALSE)&amp;"번")</f>
        <v>노임1002번</v>
      </c>
      <c r="R62" s="510"/>
      <c r="S62" s="131"/>
      <c r="T62" s="470" t="str">
        <f t="shared" si="41"/>
        <v>노임1002번</v>
      </c>
      <c r="V62" s="470"/>
      <c r="W62" s="471">
        <f t="shared" ref="W62:X62" si="51">W61</f>
        <v>3</v>
      </c>
      <c r="X62" s="471" t="e">
        <f t="shared" si="51"/>
        <v>#REF!</v>
      </c>
      <c r="Y62" s="471" t="e">
        <f t="shared" si="39"/>
        <v>#REF!</v>
      </c>
      <c r="Z62" s="471"/>
      <c r="AA62" s="471"/>
    </row>
    <row r="63" spans="1:27" s="618" customFormat="1" ht="15.75" customHeight="1" x14ac:dyDescent="0.15">
      <c r="A63" s="606"/>
      <c r="B63" s="568"/>
      <c r="C63" s="569" t="s">
        <v>1009</v>
      </c>
      <c r="D63" s="568"/>
      <c r="E63" s="570" t="s">
        <v>1149</v>
      </c>
      <c r="F63" s="607" t="s">
        <v>1010</v>
      </c>
      <c r="G63" s="571">
        <v>1</v>
      </c>
      <c r="H63" s="608" t="str">
        <f t="shared" si="40"/>
        <v>소모품비인력품의 5%식</v>
      </c>
      <c r="I63" s="609" t="str">
        <f>CONCATENATE(C63,E63,F63)</f>
        <v>소모품비인력품의 5%식</v>
      </c>
      <c r="J63" s="561">
        <f>TRUNC(M62*5%,0)</f>
        <v>373</v>
      </c>
      <c r="K63" s="610">
        <f>IF(J63="","",TRUNC($G63*J63,0))</f>
        <v>373</v>
      </c>
      <c r="L63" s="561"/>
      <c r="M63" s="610"/>
      <c r="N63" s="610"/>
      <c r="O63" s="610"/>
      <c r="P63" s="611"/>
      <c r="Q63" s="612"/>
      <c r="R63" s="613"/>
      <c r="S63" s="614"/>
      <c r="T63" s="470" t="str">
        <f t="shared" si="41"/>
        <v/>
      </c>
      <c r="U63" s="618" t="s">
        <v>1011</v>
      </c>
      <c r="V63" s="606"/>
      <c r="W63" s="471">
        <f t="shared" ref="W63:X63" si="52">W62</f>
        <v>3</v>
      </c>
      <c r="X63" s="471" t="e">
        <f t="shared" si="52"/>
        <v>#REF!</v>
      </c>
      <c r="Y63" s="471" t="e">
        <f t="shared" si="39"/>
        <v>#REF!</v>
      </c>
      <c r="Z63" s="615"/>
      <c r="AA63" s="615"/>
    </row>
    <row r="64" spans="1:27" s="470" customFormat="1" ht="15.75" customHeight="1" x14ac:dyDescent="0.15">
      <c r="B64" s="95"/>
      <c r="C64" s="140"/>
      <c r="D64" s="95"/>
      <c r="E64" s="141"/>
      <c r="F64" s="94"/>
      <c r="G64" s="505"/>
      <c r="H64" s="463" t="str">
        <f t="shared" si="40"/>
        <v/>
      </c>
      <c r="I64" s="451"/>
      <c r="J64" s="506"/>
      <c r="K64" s="507"/>
      <c r="L64" s="506"/>
      <c r="M64" s="507"/>
      <c r="N64" s="507"/>
      <c r="O64" s="507"/>
      <c r="P64" s="535"/>
      <c r="Q64" s="512"/>
      <c r="R64" s="513"/>
      <c r="S64" s="131"/>
      <c r="T64" s="470" t="str">
        <f t="shared" si="41"/>
        <v/>
      </c>
      <c r="W64" s="471">
        <f t="shared" ref="W64:X64" si="53">W63</f>
        <v>3</v>
      </c>
      <c r="X64" s="471" t="e">
        <f t="shared" si="53"/>
        <v>#REF!</v>
      </c>
      <c r="Y64" s="471" t="e">
        <f t="shared" si="39"/>
        <v>#REF!</v>
      </c>
      <c r="Z64" s="471"/>
      <c r="AA64" s="471"/>
    </row>
    <row r="65" spans="1:27" s="470" customFormat="1" ht="15.75" customHeight="1" x14ac:dyDescent="0.15">
      <c r="B65" s="95"/>
      <c r="C65" s="140"/>
      <c r="D65" s="95"/>
      <c r="E65" s="141"/>
      <c r="F65" s="94"/>
      <c r="G65" s="505"/>
      <c r="H65" s="463" t="str">
        <f t="shared" si="40"/>
        <v/>
      </c>
      <c r="I65" s="451"/>
      <c r="J65" s="506"/>
      <c r="K65" s="507"/>
      <c r="L65" s="506"/>
      <c r="M65" s="507"/>
      <c r="N65" s="507"/>
      <c r="O65" s="507"/>
      <c r="P65" s="535"/>
      <c r="Q65" s="512"/>
      <c r="R65" s="513"/>
      <c r="S65" s="131"/>
      <c r="T65" s="470" t="str">
        <f t="shared" si="41"/>
        <v/>
      </c>
      <c r="W65" s="471">
        <f t="shared" ref="W65:X65" si="54">W64</f>
        <v>3</v>
      </c>
      <c r="X65" s="471" t="e">
        <f t="shared" si="54"/>
        <v>#REF!</v>
      </c>
      <c r="Y65" s="471" t="e">
        <f t="shared" si="39"/>
        <v>#REF!</v>
      </c>
      <c r="Z65" s="471"/>
      <c r="AA65" s="471"/>
    </row>
    <row r="66" spans="1:27" s="470" customFormat="1" ht="15.75" customHeight="1" x14ac:dyDescent="0.15">
      <c r="B66" s="95"/>
      <c r="C66" s="140"/>
      <c r="D66" s="95"/>
      <c r="E66" s="141"/>
      <c r="F66" s="94"/>
      <c r="G66" s="505"/>
      <c r="H66" s="463" t="str">
        <f t="shared" si="40"/>
        <v/>
      </c>
      <c r="I66" s="451"/>
      <c r="J66" s="506"/>
      <c r="K66" s="507"/>
      <c r="L66" s="506"/>
      <c r="M66" s="507"/>
      <c r="N66" s="507"/>
      <c r="O66" s="507"/>
      <c r="P66" s="535"/>
      <c r="Q66" s="512"/>
      <c r="R66" s="513"/>
      <c r="S66" s="131"/>
      <c r="T66" s="470" t="str">
        <f t="shared" si="41"/>
        <v/>
      </c>
      <c r="W66" s="471">
        <f t="shared" ref="W66:X66" si="55">W65</f>
        <v>3</v>
      </c>
      <c r="X66" s="471" t="e">
        <f t="shared" si="55"/>
        <v>#REF!</v>
      </c>
      <c r="Y66" s="471" t="e">
        <f t="shared" si="39"/>
        <v>#REF!</v>
      </c>
      <c r="Z66" s="471"/>
      <c r="AA66" s="471"/>
    </row>
    <row r="67" spans="1:27" s="470" customFormat="1" ht="15.75" customHeight="1" x14ac:dyDescent="0.15">
      <c r="B67" s="95"/>
      <c r="C67" s="140"/>
      <c r="D67" s="95"/>
      <c r="E67" s="141"/>
      <c r="F67" s="94"/>
      <c r="G67" s="505"/>
      <c r="H67" s="463" t="str">
        <f t="shared" si="40"/>
        <v/>
      </c>
      <c r="I67" s="451"/>
      <c r="J67" s="506"/>
      <c r="K67" s="507"/>
      <c r="L67" s="506"/>
      <c r="M67" s="507"/>
      <c r="N67" s="507"/>
      <c r="O67" s="507"/>
      <c r="P67" s="535"/>
      <c r="Q67" s="512"/>
      <c r="R67" s="513"/>
      <c r="S67" s="131"/>
      <c r="T67" s="470" t="str">
        <f t="shared" si="41"/>
        <v/>
      </c>
      <c r="W67" s="471">
        <f t="shared" ref="W67:X67" si="56">W66</f>
        <v>3</v>
      </c>
      <c r="X67" s="471" t="e">
        <f t="shared" si="56"/>
        <v>#REF!</v>
      </c>
      <c r="Y67" s="471" t="e">
        <f t="shared" si="39"/>
        <v>#REF!</v>
      </c>
      <c r="Z67" s="471"/>
      <c r="AA67" s="471"/>
    </row>
    <row r="68" spans="1:27" s="470" customFormat="1" ht="15.75" customHeight="1" x14ac:dyDescent="0.15">
      <c r="B68" s="95"/>
      <c r="C68" s="140"/>
      <c r="D68" s="95"/>
      <c r="E68" s="141"/>
      <c r="F68" s="94"/>
      <c r="G68" s="505"/>
      <c r="H68" s="463" t="str">
        <f t="shared" si="40"/>
        <v/>
      </c>
      <c r="I68" s="451"/>
      <c r="J68" s="506"/>
      <c r="K68" s="507"/>
      <c r="L68" s="506"/>
      <c r="M68" s="507"/>
      <c r="N68" s="507"/>
      <c r="O68" s="507"/>
      <c r="P68" s="535"/>
      <c r="Q68" s="512"/>
      <c r="R68" s="513"/>
      <c r="S68" s="131"/>
      <c r="T68" s="470" t="str">
        <f t="shared" si="41"/>
        <v/>
      </c>
      <c r="W68" s="471">
        <f t="shared" ref="W68:X68" si="57">W67</f>
        <v>3</v>
      </c>
      <c r="X68" s="471" t="e">
        <f t="shared" si="57"/>
        <v>#REF!</v>
      </c>
      <c r="Y68" s="471" t="e">
        <f t="shared" si="39"/>
        <v>#REF!</v>
      </c>
      <c r="Z68" s="471"/>
      <c r="AA68" s="471"/>
    </row>
    <row r="69" spans="1:27" s="470" customFormat="1" ht="15.75" customHeight="1" x14ac:dyDescent="0.15">
      <c r="B69" s="95"/>
      <c r="C69" s="140"/>
      <c r="D69" s="95"/>
      <c r="E69" s="141"/>
      <c r="F69" s="94"/>
      <c r="G69" s="505"/>
      <c r="H69" s="463" t="str">
        <f t="shared" si="40"/>
        <v/>
      </c>
      <c r="I69" s="451"/>
      <c r="J69" s="506"/>
      <c r="K69" s="507"/>
      <c r="L69" s="506"/>
      <c r="M69" s="507"/>
      <c r="N69" s="507"/>
      <c r="O69" s="507"/>
      <c r="P69" s="535"/>
      <c r="Q69" s="512"/>
      <c r="R69" s="513"/>
      <c r="S69" s="131"/>
      <c r="T69" s="470" t="str">
        <f t="shared" si="41"/>
        <v/>
      </c>
      <c r="W69" s="471">
        <f t="shared" ref="W69:X69" si="58">W68</f>
        <v>3</v>
      </c>
      <c r="X69" s="471" t="e">
        <f t="shared" si="58"/>
        <v>#REF!</v>
      </c>
      <c r="Y69" s="471" t="e">
        <f t="shared" si="39"/>
        <v>#REF!</v>
      </c>
      <c r="Z69" s="471"/>
      <c r="AA69" s="471"/>
    </row>
    <row r="70" spans="1:27" s="470" customFormat="1" ht="15.75" customHeight="1" x14ac:dyDescent="0.15">
      <c r="B70" s="95"/>
      <c r="C70" s="140"/>
      <c r="D70" s="95"/>
      <c r="E70" s="141"/>
      <c r="F70" s="94"/>
      <c r="G70" s="505"/>
      <c r="H70" s="463" t="str">
        <f t="shared" si="40"/>
        <v/>
      </c>
      <c r="I70" s="451"/>
      <c r="J70" s="506"/>
      <c r="K70" s="507"/>
      <c r="L70" s="506"/>
      <c r="M70" s="507"/>
      <c r="N70" s="507"/>
      <c r="O70" s="507"/>
      <c r="P70" s="535"/>
      <c r="Q70" s="512"/>
      <c r="R70" s="513"/>
      <c r="S70" s="131"/>
      <c r="T70" s="470" t="str">
        <f t="shared" si="41"/>
        <v/>
      </c>
      <c r="W70" s="471">
        <f t="shared" ref="W70:X70" si="59">W69</f>
        <v>3</v>
      </c>
      <c r="X70" s="471" t="e">
        <f t="shared" si="59"/>
        <v>#REF!</v>
      </c>
      <c r="Y70" s="471" t="e">
        <f t="shared" si="39"/>
        <v>#REF!</v>
      </c>
      <c r="Z70" s="471"/>
      <c r="AA70" s="471"/>
    </row>
    <row r="71" spans="1:27" s="470" customFormat="1" ht="15.75" customHeight="1" x14ac:dyDescent="0.15">
      <c r="B71" s="95"/>
      <c r="C71" s="140"/>
      <c r="D71" s="95"/>
      <c r="E71" s="141"/>
      <c r="F71" s="94"/>
      <c r="G71" s="505"/>
      <c r="H71" s="463" t="str">
        <f t="shared" si="40"/>
        <v/>
      </c>
      <c r="I71" s="451"/>
      <c r="J71" s="506"/>
      <c r="K71" s="507"/>
      <c r="L71" s="506"/>
      <c r="M71" s="507"/>
      <c r="N71" s="507"/>
      <c r="O71" s="507"/>
      <c r="P71" s="535"/>
      <c r="Q71" s="512"/>
      <c r="R71" s="513"/>
      <c r="S71" s="131"/>
      <c r="T71" s="470" t="str">
        <f t="shared" si="41"/>
        <v/>
      </c>
      <c r="W71" s="471">
        <f t="shared" ref="W71:X71" si="60">W70</f>
        <v>3</v>
      </c>
      <c r="X71" s="471" t="e">
        <f t="shared" si="60"/>
        <v>#REF!</v>
      </c>
      <c r="Y71" s="471" t="e">
        <f t="shared" si="39"/>
        <v>#REF!</v>
      </c>
      <c r="Z71" s="471"/>
      <c r="AA71" s="471"/>
    </row>
    <row r="72" spans="1:27" s="470" customFormat="1" ht="15.75" customHeight="1" x14ac:dyDescent="0.15">
      <c r="B72" s="95"/>
      <c r="C72" s="140"/>
      <c r="D72" s="95"/>
      <c r="E72" s="141"/>
      <c r="F72" s="94"/>
      <c r="G72" s="505"/>
      <c r="H72" s="463" t="str">
        <f t="shared" si="40"/>
        <v/>
      </c>
      <c r="I72" s="451"/>
      <c r="J72" s="506"/>
      <c r="K72" s="507"/>
      <c r="L72" s="506"/>
      <c r="M72" s="507"/>
      <c r="N72" s="507"/>
      <c r="O72" s="507"/>
      <c r="P72" s="535"/>
      <c r="Q72" s="512"/>
      <c r="R72" s="513"/>
      <c r="S72" s="131"/>
      <c r="T72" s="470" t="str">
        <f t="shared" si="41"/>
        <v/>
      </c>
      <c r="W72" s="471">
        <f t="shared" ref="W72:X72" si="61">W71</f>
        <v>3</v>
      </c>
      <c r="X72" s="471" t="e">
        <f t="shared" si="61"/>
        <v>#REF!</v>
      </c>
      <c r="Y72" s="471" t="e">
        <f t="shared" si="39"/>
        <v>#REF!</v>
      </c>
      <c r="Z72" s="471"/>
      <c r="AA72" s="471"/>
    </row>
    <row r="73" spans="1:27" s="470" customFormat="1" ht="15.75" customHeight="1" x14ac:dyDescent="0.15">
      <c r="B73" s="95"/>
      <c r="C73" s="140"/>
      <c r="D73" s="95"/>
      <c r="E73" s="141"/>
      <c r="F73" s="94"/>
      <c r="G73" s="505"/>
      <c r="H73" s="463" t="str">
        <f t="shared" si="40"/>
        <v/>
      </c>
      <c r="I73" s="451"/>
      <c r="J73" s="506"/>
      <c r="K73" s="507"/>
      <c r="L73" s="506"/>
      <c r="M73" s="507"/>
      <c r="N73" s="507"/>
      <c r="O73" s="507"/>
      <c r="P73" s="535"/>
      <c r="Q73" s="512"/>
      <c r="R73" s="513"/>
      <c r="S73" s="131"/>
      <c r="T73" s="470" t="str">
        <f t="shared" si="41"/>
        <v/>
      </c>
      <c r="W73" s="471">
        <f t="shared" ref="W73:X73" si="62">W72</f>
        <v>3</v>
      </c>
      <c r="X73" s="471" t="e">
        <f t="shared" si="62"/>
        <v>#REF!</v>
      </c>
      <c r="Y73" s="471" t="e">
        <f t="shared" si="39"/>
        <v>#REF!</v>
      </c>
      <c r="Z73" s="471"/>
      <c r="AA73" s="471"/>
    </row>
    <row r="74" spans="1:27" s="470" customFormat="1" ht="15.75" customHeight="1" x14ac:dyDescent="0.15">
      <c r="B74" s="95"/>
      <c r="C74" s="140"/>
      <c r="D74" s="95"/>
      <c r="E74" s="141"/>
      <c r="F74" s="94"/>
      <c r="G74" s="505"/>
      <c r="H74" s="463" t="str">
        <f t="shared" si="40"/>
        <v/>
      </c>
      <c r="I74" s="451"/>
      <c r="J74" s="506"/>
      <c r="K74" s="507"/>
      <c r="L74" s="506"/>
      <c r="M74" s="507"/>
      <c r="N74" s="507"/>
      <c r="O74" s="507"/>
      <c r="P74" s="535"/>
      <c r="Q74" s="512"/>
      <c r="R74" s="513"/>
      <c r="S74" s="131"/>
      <c r="T74" s="470" t="str">
        <f t="shared" si="41"/>
        <v/>
      </c>
      <c r="W74" s="471">
        <f t="shared" ref="W74:X74" si="63">W73</f>
        <v>3</v>
      </c>
      <c r="X74" s="471" t="e">
        <f t="shared" si="63"/>
        <v>#REF!</v>
      </c>
      <c r="Y74" s="471" t="e">
        <f t="shared" si="39"/>
        <v>#REF!</v>
      </c>
      <c r="Z74" s="471"/>
      <c r="AA74" s="471"/>
    </row>
    <row r="75" spans="1:27" s="470" customFormat="1" ht="15.75" customHeight="1" x14ac:dyDescent="0.15">
      <c r="B75" s="95"/>
      <c r="C75" s="140"/>
      <c r="D75" s="95"/>
      <c r="E75" s="141"/>
      <c r="F75" s="94"/>
      <c r="G75" s="505"/>
      <c r="H75" s="463" t="str">
        <f t="shared" si="40"/>
        <v/>
      </c>
      <c r="I75" s="451"/>
      <c r="J75" s="506"/>
      <c r="K75" s="507"/>
      <c r="L75" s="506"/>
      <c r="M75" s="507"/>
      <c r="N75" s="507"/>
      <c r="O75" s="507"/>
      <c r="P75" s="535"/>
      <c r="Q75" s="512"/>
      <c r="R75" s="513"/>
      <c r="S75" s="131"/>
      <c r="T75" s="470" t="str">
        <f t="shared" si="41"/>
        <v/>
      </c>
      <c r="W75" s="471">
        <f t="shared" ref="W75:X75" si="64">W74</f>
        <v>3</v>
      </c>
      <c r="X75" s="471" t="e">
        <f t="shared" si="64"/>
        <v>#REF!</v>
      </c>
      <c r="Y75" s="471" t="e">
        <f t="shared" si="39"/>
        <v>#REF!</v>
      </c>
      <c r="Z75" s="471"/>
      <c r="AA75" s="471"/>
    </row>
    <row r="76" spans="1:27" s="470" customFormat="1" ht="15.75" customHeight="1" x14ac:dyDescent="0.15">
      <c r="A76" s="457"/>
      <c r="B76" s="514" t="s">
        <v>751</v>
      </c>
      <c r="C76" s="515"/>
      <c r="D76" s="516"/>
      <c r="E76" s="517"/>
      <c r="F76" s="518"/>
      <c r="G76" s="519"/>
      <c r="H76" s="463" t="str">
        <f t="shared" si="40"/>
        <v/>
      </c>
      <c r="I76" s="520">
        <f>목록!$B$8</f>
        <v>3</v>
      </c>
      <c r="J76" s="521"/>
      <c r="K76" s="522">
        <f>SUM(K62:K75)</f>
        <v>373</v>
      </c>
      <c r="L76" s="521"/>
      <c r="M76" s="522">
        <f>SUM(M62:M75)</f>
        <v>7479</v>
      </c>
      <c r="N76" s="521"/>
      <c r="O76" s="522">
        <f>SUM(O62:O75)</f>
        <v>0</v>
      </c>
      <c r="P76" s="536"/>
      <c r="Q76" s="512"/>
      <c r="R76" s="513"/>
      <c r="S76" s="537"/>
      <c r="T76" s="470" t="str">
        <f t="shared" si="41"/>
        <v/>
      </c>
      <c r="W76" s="471">
        <f t="shared" ref="W76:X76" si="65">W75</f>
        <v>3</v>
      </c>
      <c r="X76" s="471" t="e">
        <f t="shared" si="65"/>
        <v>#REF!</v>
      </c>
      <c r="Y76" s="471" t="e">
        <f t="shared" si="39"/>
        <v>#REF!</v>
      </c>
      <c r="Z76" s="471"/>
      <c r="AA76" s="471"/>
    </row>
    <row r="77" spans="1:27" s="470" customFormat="1" ht="15.75" customHeight="1" x14ac:dyDescent="0.15">
      <c r="B77" s="453"/>
      <c r="C77" s="540" t="s">
        <v>1205</v>
      </c>
      <c r="D77" s="95"/>
      <c r="E77" s="141"/>
      <c r="F77" s="94"/>
      <c r="G77" s="505"/>
      <c r="H77" s="463" t="str">
        <f t="shared" si="40"/>
        <v>※ 건축표준품셈 : 2-10 건축물 현장정리(철골조 준용, 최저기준)</v>
      </c>
      <c r="I77" s="451"/>
      <c r="J77" s="506"/>
      <c r="K77" s="507"/>
      <c r="L77" s="506"/>
      <c r="M77" s="507"/>
      <c r="N77" s="507"/>
      <c r="O77" s="507"/>
      <c r="P77" s="535"/>
      <c r="Q77" s="512"/>
      <c r="R77" s="513"/>
      <c r="S77" s="131"/>
      <c r="T77" s="470" t="str">
        <f t="shared" si="41"/>
        <v/>
      </c>
      <c r="W77" s="615">
        <f t="shared" ref="W77:X77" si="66">W76</f>
        <v>3</v>
      </c>
      <c r="X77" s="471" t="e">
        <f t="shared" si="66"/>
        <v>#REF!</v>
      </c>
      <c r="Y77" s="471" t="e">
        <f t="shared" si="39"/>
        <v>#REF!</v>
      </c>
      <c r="Z77" s="471"/>
      <c r="AA77" s="471"/>
    </row>
    <row r="78" spans="1:27" s="457" customFormat="1" ht="15.75" customHeight="1" x14ac:dyDescent="0.15">
      <c r="A78" s="470"/>
      <c r="B78" s="453"/>
      <c r="C78" s="209"/>
      <c r="D78" s="95"/>
      <c r="E78" s="141"/>
      <c r="F78" s="94"/>
      <c r="G78" s="505"/>
      <c r="H78" s="463" t="str">
        <f t="shared" si="40"/>
        <v/>
      </c>
      <c r="I78" s="451"/>
      <c r="J78" s="506"/>
      <c r="K78" s="507"/>
      <c r="L78" s="506"/>
      <c r="M78" s="507"/>
      <c r="N78" s="507"/>
      <c r="O78" s="507"/>
      <c r="P78" s="535"/>
      <c r="Q78" s="512"/>
      <c r="R78" s="513"/>
      <c r="S78" s="131"/>
      <c r="T78" s="470" t="str">
        <f t="shared" si="41"/>
        <v/>
      </c>
      <c r="V78" s="470"/>
      <c r="W78" s="471">
        <f t="shared" ref="W78:X78" si="67">W77</f>
        <v>3</v>
      </c>
      <c r="X78" s="471" t="e">
        <f t="shared" si="67"/>
        <v>#REF!</v>
      </c>
      <c r="Y78" s="471" t="e">
        <f t="shared" si="39"/>
        <v>#REF!</v>
      </c>
      <c r="Z78" s="471"/>
      <c r="AA78" s="471"/>
    </row>
    <row r="79" spans="1:27" s="470" customFormat="1" ht="15.75" customHeight="1" x14ac:dyDescent="0.15">
      <c r="A79" s="457"/>
      <c r="B79" s="514"/>
      <c r="C79" s="515"/>
      <c r="D79" s="516"/>
      <c r="E79" s="517"/>
      <c r="F79" s="518"/>
      <c r="G79" s="519"/>
      <c r="H79" s="463" t="str">
        <f t="shared" si="40"/>
        <v/>
      </c>
      <c r="I79" s="520"/>
      <c r="J79" s="521"/>
      <c r="K79" s="522"/>
      <c r="L79" s="521"/>
      <c r="M79" s="522"/>
      <c r="N79" s="521"/>
      <c r="O79" s="522"/>
      <c r="P79" s="535"/>
      <c r="Q79" s="512"/>
      <c r="R79" s="513"/>
      <c r="S79" s="131"/>
      <c r="T79" s="470" t="str">
        <f t="shared" si="41"/>
        <v/>
      </c>
      <c r="W79" s="471">
        <f t="shared" ref="W79:X79" si="68">W78</f>
        <v>3</v>
      </c>
      <c r="X79" s="471" t="e">
        <f t="shared" si="68"/>
        <v>#REF!</v>
      </c>
      <c r="Y79" s="471" t="e">
        <f t="shared" si="39"/>
        <v>#REF!</v>
      </c>
      <c r="Z79" s="471"/>
      <c r="AA79" s="471"/>
    </row>
    <row r="80" spans="1:27" s="470" customFormat="1" ht="15.75" customHeight="1" x14ac:dyDescent="0.15">
      <c r="A80" s="457"/>
      <c r="B80" s="457"/>
      <c r="C80" s="458"/>
      <c r="D80" s="459"/>
      <c r="E80" s="460"/>
      <c r="F80" s="461"/>
      <c r="G80" s="462"/>
      <c r="H80" s="463" t="str">
        <f t="shared" ref="H80:H87" si="69">CONCATENATE(C80,E80,F80)</f>
        <v/>
      </c>
      <c r="I80" s="464"/>
      <c r="J80" s="465"/>
      <c r="K80" s="465"/>
      <c r="L80" s="465"/>
      <c r="M80" s="465"/>
      <c r="N80" s="465"/>
      <c r="O80" s="466"/>
      <c r="P80" s="467"/>
      <c r="Q80" s="468"/>
      <c r="R80" s="469"/>
      <c r="S80" s="467"/>
      <c r="T80" s="470" t="str">
        <f t="shared" ref="T80:T105" si="70">CONCATENATE(Q80,R80)</f>
        <v/>
      </c>
      <c r="W80" s="533">
        <f t="shared" ref="W80" si="71">I102</f>
        <v>4</v>
      </c>
      <c r="X80" s="533" t="e">
        <f>#REF!+1</f>
        <v>#REF!</v>
      </c>
      <c r="Y80" s="533" t="e">
        <f t="shared" ref="Y80:Y105" si="72">X80-W80</f>
        <v>#REF!</v>
      </c>
      <c r="Z80" s="533"/>
      <c r="AA80" s="533"/>
    </row>
    <row r="81" spans="1:27" s="457" customFormat="1" ht="15.75" customHeight="1" x14ac:dyDescent="0.15">
      <c r="B81" s="473"/>
      <c r="C81" s="474" t="str">
        <f>"   항목번호 : "&amp;목록!L$9</f>
        <v xml:space="preserve">   항목번호 : 제4호표</v>
      </c>
      <c r="D81" s="475">
        <f>목록!B$9</f>
        <v>4</v>
      </c>
      <c r="E81" s="476"/>
      <c r="F81" s="473"/>
      <c r="G81" s="478"/>
      <c r="H81" s="463" t="str">
        <f t="shared" si="69"/>
        <v xml:space="preserve">   항목번호 : 제4호표</v>
      </c>
      <c r="I81" s="479"/>
      <c r="J81" s="480"/>
      <c r="K81" s="481"/>
      <c r="L81" s="482"/>
      <c r="M81" s="482"/>
      <c r="N81" s="482"/>
      <c r="O81" s="466"/>
      <c r="P81" s="483"/>
      <c r="Q81" s="484"/>
      <c r="R81" s="485"/>
      <c r="S81" s="483"/>
      <c r="T81" s="470" t="str">
        <f t="shared" si="70"/>
        <v/>
      </c>
      <c r="V81" s="470"/>
      <c r="W81" s="471">
        <f t="shared" ref="W81:X81" si="73">W80</f>
        <v>4</v>
      </c>
      <c r="X81" s="471" t="e">
        <f t="shared" si="73"/>
        <v>#REF!</v>
      </c>
      <c r="Y81" s="471" t="e">
        <f t="shared" si="72"/>
        <v>#REF!</v>
      </c>
      <c r="Z81" s="471"/>
      <c r="AA81" s="471"/>
    </row>
    <row r="82" spans="1:27" s="457" customFormat="1" ht="15.75" customHeight="1" x14ac:dyDescent="0.15">
      <c r="B82" s="473"/>
      <c r="C82" s="474" t="str">
        <f>"   공      종 : "&amp;목록!D$9</f>
        <v xml:space="preserve">   공      종 : 보양</v>
      </c>
      <c r="D82" s="484"/>
      <c r="E82" s="476"/>
      <c r="F82" s="473"/>
      <c r="G82" s="478"/>
      <c r="H82" s="463" t="str">
        <f t="shared" si="69"/>
        <v xml:space="preserve">   공      종 : 보양</v>
      </c>
      <c r="I82" s="479"/>
      <c r="J82" s="480"/>
      <c r="K82" s="481"/>
      <c r="L82" s="482"/>
      <c r="M82" s="482"/>
      <c r="N82" s="482"/>
      <c r="O82" s="466"/>
      <c r="P82" s="483"/>
      <c r="Q82" s="484"/>
      <c r="R82" s="485"/>
      <c r="S82" s="483"/>
      <c r="T82" s="470" t="str">
        <f t="shared" si="70"/>
        <v/>
      </c>
      <c r="V82" s="470"/>
      <c r="W82" s="471">
        <f t="shared" ref="W82:X82" si="74">W81</f>
        <v>4</v>
      </c>
      <c r="X82" s="471" t="e">
        <f t="shared" si="74"/>
        <v>#REF!</v>
      </c>
      <c r="Y82" s="471" t="e">
        <f t="shared" si="72"/>
        <v>#REF!</v>
      </c>
      <c r="Z82" s="471"/>
      <c r="AA82" s="471"/>
    </row>
    <row r="83" spans="1:27" s="457" customFormat="1" ht="15.75" customHeight="1" x14ac:dyDescent="0.15">
      <c r="B83" s="473"/>
      <c r="C83" s="474" t="str">
        <f xml:space="preserve"> "   규      격 : "&amp;목록!F$9</f>
        <v xml:space="preserve">   규      격 : 플라베니아,3*6(3T)</v>
      </c>
      <c r="D83" s="484"/>
      <c r="E83" s="476"/>
      <c r="F83" s="473"/>
      <c r="G83" s="478"/>
      <c r="H83" s="463" t="str">
        <f t="shared" si="69"/>
        <v xml:space="preserve">   규      격 : 플라베니아,3*6(3T)</v>
      </c>
      <c r="I83" s="479"/>
      <c r="J83" s="480" t="s">
        <v>348</v>
      </c>
      <c r="K83" s="481"/>
      <c r="L83" s="482" t="s">
        <v>349</v>
      </c>
      <c r="M83" s="482"/>
      <c r="N83" s="482" t="s">
        <v>240</v>
      </c>
      <c r="O83" s="466"/>
      <c r="P83" s="483"/>
      <c r="Q83" s="484" t="s">
        <v>752</v>
      </c>
      <c r="R83" s="484"/>
      <c r="S83" s="483"/>
      <c r="T83" s="470" t="str">
        <f t="shared" si="70"/>
        <v>합계</v>
      </c>
      <c r="V83" s="470"/>
      <c r="W83" s="471">
        <f t="shared" ref="W83:X83" si="75">W82</f>
        <v>4</v>
      </c>
      <c r="X83" s="471" t="e">
        <f t="shared" si="75"/>
        <v>#REF!</v>
      </c>
      <c r="Y83" s="471" t="e">
        <f t="shared" si="72"/>
        <v>#REF!</v>
      </c>
      <c r="Z83" s="471"/>
      <c r="AA83" s="471"/>
    </row>
    <row r="84" spans="1:27" s="457" customFormat="1" ht="15.75" customHeight="1" x14ac:dyDescent="0.15">
      <c r="B84" s="473"/>
      <c r="C84" s="474" t="str">
        <f>"   단      위 : "&amp;목록!G$9</f>
        <v xml:space="preserve">   단      위 : ㎡</v>
      </c>
      <c r="D84" s="484"/>
      <c r="E84" s="476"/>
      <c r="F84" s="473"/>
      <c r="G84" s="478"/>
      <c r="H84" s="463" t="str">
        <f t="shared" si="69"/>
        <v xml:space="preserve">   단      위 : ㎡</v>
      </c>
      <c r="I84" s="479"/>
      <c r="J84" s="486">
        <f>K102</f>
        <v>2478</v>
      </c>
      <c r="K84" s="481"/>
      <c r="L84" s="487">
        <f>M102</f>
        <v>1068</v>
      </c>
      <c r="M84" s="482"/>
      <c r="N84" s="482">
        <f>O102</f>
        <v>0</v>
      </c>
      <c r="O84" s="466"/>
      <c r="P84" s="483"/>
      <c r="Q84" s="488">
        <f>J84+L84+N84</f>
        <v>3546</v>
      </c>
      <c r="R84" s="489"/>
      <c r="S84" s="483"/>
      <c r="T84" s="470" t="str">
        <f t="shared" si="70"/>
        <v>3546</v>
      </c>
      <c r="V84" s="470"/>
      <c r="W84" s="471">
        <f t="shared" ref="W84:X84" si="76">W83</f>
        <v>4</v>
      </c>
      <c r="X84" s="471" t="e">
        <f t="shared" si="76"/>
        <v>#REF!</v>
      </c>
      <c r="Y84" s="471" t="e">
        <f t="shared" si="72"/>
        <v>#REF!</v>
      </c>
      <c r="Z84" s="471"/>
      <c r="AA84" s="471"/>
    </row>
    <row r="85" spans="1:27" s="457" customFormat="1" ht="15.75" customHeight="1" x14ac:dyDescent="0.15">
      <c r="B85" s="473"/>
      <c r="C85" s="474"/>
      <c r="D85" s="484"/>
      <c r="E85" s="476"/>
      <c r="F85" s="473"/>
      <c r="G85" s="490"/>
      <c r="H85" s="463" t="str">
        <f t="shared" si="69"/>
        <v/>
      </c>
      <c r="I85" s="491"/>
      <c r="J85" s="482"/>
      <c r="K85" s="465"/>
      <c r="L85" s="482"/>
      <c r="M85" s="482"/>
      <c r="N85" s="482"/>
      <c r="O85" s="466"/>
      <c r="P85" s="492"/>
      <c r="Q85" s="493"/>
      <c r="R85" s="485"/>
      <c r="S85" s="492"/>
      <c r="T85" s="470" t="str">
        <f t="shared" si="70"/>
        <v/>
      </c>
      <c r="V85" s="470"/>
      <c r="W85" s="471">
        <f t="shared" ref="W85:X85" si="77">W84</f>
        <v>4</v>
      </c>
      <c r="X85" s="471" t="e">
        <f t="shared" si="77"/>
        <v>#REF!</v>
      </c>
      <c r="Y85" s="471" t="e">
        <f t="shared" si="72"/>
        <v>#REF!</v>
      </c>
      <c r="Z85" s="471"/>
      <c r="AA85" s="471"/>
    </row>
    <row r="86" spans="1:27" s="457" customFormat="1" ht="15.75" customHeight="1" x14ac:dyDescent="0.15">
      <c r="B86" s="899" t="s">
        <v>375</v>
      </c>
      <c r="C86" s="900"/>
      <c r="D86" s="907" t="s">
        <v>356</v>
      </c>
      <c r="E86" s="908"/>
      <c r="F86" s="903" t="s">
        <v>753</v>
      </c>
      <c r="G86" s="913" t="s">
        <v>754</v>
      </c>
      <c r="H86" s="463" t="str">
        <f t="shared" si="69"/>
        <v>단위</v>
      </c>
      <c r="I86" s="494"/>
      <c r="J86" s="495" t="s">
        <v>348</v>
      </c>
      <c r="K86" s="496"/>
      <c r="L86" s="495" t="s">
        <v>349</v>
      </c>
      <c r="M86" s="496"/>
      <c r="N86" s="497" t="s">
        <v>240</v>
      </c>
      <c r="O86" s="497"/>
      <c r="P86" s="498"/>
      <c r="Q86" s="818" t="s">
        <v>355</v>
      </c>
      <c r="R86" s="818"/>
      <c r="S86" s="499"/>
      <c r="T86" s="470" t="str">
        <f t="shared" si="70"/>
        <v>비  고</v>
      </c>
      <c r="V86" s="470"/>
      <c r="W86" s="471">
        <f t="shared" ref="W86:X86" si="78">W85</f>
        <v>4</v>
      </c>
      <c r="X86" s="471" t="e">
        <f t="shared" si="78"/>
        <v>#REF!</v>
      </c>
      <c r="Y86" s="471" t="e">
        <f t="shared" si="72"/>
        <v>#REF!</v>
      </c>
      <c r="Z86" s="471"/>
      <c r="AA86" s="471"/>
    </row>
    <row r="87" spans="1:27" s="457" customFormat="1" ht="15.75" customHeight="1" x14ac:dyDescent="0.15">
      <c r="B87" s="901"/>
      <c r="C87" s="902"/>
      <c r="D87" s="909"/>
      <c r="E87" s="910"/>
      <c r="F87" s="904"/>
      <c r="G87" s="914"/>
      <c r="H87" s="463" t="str">
        <f t="shared" si="69"/>
        <v/>
      </c>
      <c r="I87" s="500"/>
      <c r="J87" s="501" t="s">
        <v>353</v>
      </c>
      <c r="K87" s="501" t="s">
        <v>354</v>
      </c>
      <c r="L87" s="501" t="s">
        <v>353</v>
      </c>
      <c r="M87" s="502" t="s">
        <v>354</v>
      </c>
      <c r="N87" s="501" t="s">
        <v>353</v>
      </c>
      <c r="O87" s="501" t="s">
        <v>354</v>
      </c>
      <c r="P87" s="503"/>
      <c r="Q87" s="819"/>
      <c r="R87" s="819"/>
      <c r="S87" s="504"/>
      <c r="T87" s="470" t="str">
        <f t="shared" si="70"/>
        <v/>
      </c>
      <c r="V87" s="470"/>
      <c r="W87" s="471">
        <f t="shared" ref="W87:X87" si="79">W86</f>
        <v>4</v>
      </c>
      <c r="X87" s="471" t="e">
        <f t="shared" si="79"/>
        <v>#REF!</v>
      </c>
      <c r="Y87" s="471" t="e">
        <f t="shared" si="72"/>
        <v>#REF!</v>
      </c>
      <c r="Z87" s="471"/>
      <c r="AA87" s="471"/>
    </row>
    <row r="88" spans="1:27" s="457" customFormat="1" ht="15.75" customHeight="1" x14ac:dyDescent="0.15">
      <c r="A88" s="470"/>
      <c r="B88" s="95"/>
      <c r="C88" s="140" t="s">
        <v>636</v>
      </c>
      <c r="D88" s="95"/>
      <c r="E88" s="141" t="s">
        <v>637</v>
      </c>
      <c r="F88" s="94" t="s">
        <v>768</v>
      </c>
      <c r="G88" s="505">
        <v>1.2</v>
      </c>
      <c r="H88" s="463" t="str">
        <f t="shared" ref="H88:H93" si="80">CONCATENATE(C88,E88,F88)</f>
        <v>플라베니아THK=3mm*3'*6㎡</v>
      </c>
      <c r="I88" s="451" t="str">
        <f>CONCATENATE(C88,E88,F88)</f>
        <v>플라베니아THK=3mm*3'*6㎡</v>
      </c>
      <c r="J88" s="506">
        <f>IF(OR($F88="인",$F88=""),"",VLOOKUP($H88,단가!$A:$S,19,FALSE))</f>
        <v>1950</v>
      </c>
      <c r="K88" s="507">
        <f t="shared" ref="K88:K93" si="81">IF(J88="","",TRUNC($G88*J88,0))</f>
        <v>2340</v>
      </c>
      <c r="L88" s="506" t="str">
        <f>IF($F88="인",VLOOKUP($C:$C,노임!$C:$G,4,FALSE),"")</f>
        <v/>
      </c>
      <c r="M88" s="507" t="str">
        <f t="shared" ref="M88:M93" si="82">IF(L88="","",TRUNC($G88*L88,0))</f>
        <v/>
      </c>
      <c r="N88" s="507"/>
      <c r="O88" s="507" t="str">
        <f t="shared" ref="O88:O93" si="83">IF(N88="","",TRUNC($G88*N88,0))</f>
        <v/>
      </c>
      <c r="P88" s="508"/>
      <c r="Q88" s="509" t="str">
        <f>IF(F88="인","노임"&amp;VLOOKUP($C:$C,노임!C:G,5,FALSE)&amp;"번","단가"&amp;VLOOKUP($H:$H,단가!$A:$B,2,FALSE)&amp;"번")</f>
        <v>단가81번</v>
      </c>
      <c r="R88" s="510"/>
      <c r="S88" s="131"/>
      <c r="T88" s="470" t="str">
        <f t="shared" si="70"/>
        <v>단가81번</v>
      </c>
      <c r="V88" s="470"/>
      <c r="W88" s="471">
        <f t="shared" ref="W88:X88" si="84">W87</f>
        <v>4</v>
      </c>
      <c r="X88" s="471" t="e">
        <f t="shared" si="84"/>
        <v>#REF!</v>
      </c>
      <c r="Y88" s="471" t="e">
        <f t="shared" si="72"/>
        <v>#REF!</v>
      </c>
      <c r="Z88" s="471"/>
      <c r="AA88" s="471"/>
    </row>
    <row r="89" spans="1:27" s="457" customFormat="1" ht="15.75" customHeight="1" x14ac:dyDescent="0.15">
      <c r="A89" s="470"/>
      <c r="B89" s="95"/>
      <c r="C89" s="140" t="s">
        <v>769</v>
      </c>
      <c r="D89" s="95"/>
      <c r="E89" s="141" t="s">
        <v>770</v>
      </c>
      <c r="F89" s="94" t="s">
        <v>771</v>
      </c>
      <c r="G89" s="505">
        <v>1.8</v>
      </c>
      <c r="H89" s="463" t="str">
        <f t="shared" si="80"/>
        <v>청면TAPE폭5cm*10m/roll m</v>
      </c>
      <c r="I89" s="451" t="str">
        <f>CONCATENATE(C89,E89,F89)</f>
        <v>청면TAPE폭5cm*10m/roll m</v>
      </c>
      <c r="J89" s="506">
        <f>IF(OR($F89="인",$F89=""),"",VLOOKUP($H89,단가!$A:$S,19,FALSE))</f>
        <v>77</v>
      </c>
      <c r="K89" s="507">
        <f t="shared" si="81"/>
        <v>138</v>
      </c>
      <c r="L89" s="506" t="str">
        <f>IF($F89="인",VLOOKUP($C:$C,노임!$C:$G,4,FALSE),"")</f>
        <v/>
      </c>
      <c r="M89" s="507" t="str">
        <f t="shared" si="82"/>
        <v/>
      </c>
      <c r="N89" s="507"/>
      <c r="O89" s="507" t="str">
        <f t="shared" si="83"/>
        <v/>
      </c>
      <c r="P89" s="508"/>
      <c r="Q89" s="509" t="str">
        <f>IF(F89="인","노임"&amp;VLOOKUP($C:$C,노임!C:G,5,FALSE)&amp;"번","단가"&amp;VLOOKUP($H:$H,단가!$A:$B,2,FALSE)&amp;"번")</f>
        <v>단가63번</v>
      </c>
      <c r="R89" s="510"/>
      <c r="S89" s="131"/>
      <c r="T89" s="470" t="str">
        <f t="shared" si="70"/>
        <v>단가63번</v>
      </c>
      <c r="V89" s="470"/>
      <c r="W89" s="471">
        <f t="shared" ref="W89:X89" si="85">W88</f>
        <v>4</v>
      </c>
      <c r="X89" s="471" t="e">
        <f t="shared" si="85"/>
        <v>#REF!</v>
      </c>
      <c r="Y89" s="471" t="e">
        <f t="shared" si="72"/>
        <v>#REF!</v>
      </c>
      <c r="Z89" s="471"/>
      <c r="AA89" s="471"/>
    </row>
    <row r="90" spans="1:27" s="470" customFormat="1" ht="15.75" customHeight="1" x14ac:dyDescent="0.15">
      <c r="B90" s="95"/>
      <c r="C90" s="140" t="s">
        <v>772</v>
      </c>
      <c r="D90" s="670"/>
      <c r="E90" s="643"/>
      <c r="F90" s="207" t="s">
        <v>756</v>
      </c>
      <c r="G90" s="505">
        <v>0.01</v>
      </c>
      <c r="H90" s="463" t="str">
        <f t="shared" si="80"/>
        <v>보통인부인</v>
      </c>
      <c r="I90" s="451" t="str">
        <f>CONCATENATE(C90,E90,F90)</f>
        <v>보통인부인</v>
      </c>
      <c r="J90" s="506" t="str">
        <f>IF(OR($F90="인",$F90=""),"",VLOOKUP($H90,단가!$A:$S,19,FALSE))</f>
        <v/>
      </c>
      <c r="K90" s="507" t="str">
        <f t="shared" si="81"/>
        <v/>
      </c>
      <c r="L90" s="506">
        <f>IF($F90="인",VLOOKUP($C:$C,노임!$C:$G,4,FALSE),"")</f>
        <v>106846</v>
      </c>
      <c r="M90" s="507">
        <f t="shared" si="82"/>
        <v>1068</v>
      </c>
      <c r="N90" s="507"/>
      <c r="O90" s="507" t="str">
        <f t="shared" si="83"/>
        <v/>
      </c>
      <c r="P90" s="508"/>
      <c r="Q90" s="509" t="str">
        <f>IF(F90="인","노임"&amp;VLOOKUP($C:$C,노임!C:G,5,FALSE)&amp;"번","단가"&amp;VLOOKUP($H:$H,단가!$A:$B,2,FALSE)&amp;"번")</f>
        <v>노임1002번</v>
      </c>
      <c r="R90" s="510"/>
      <c r="S90" s="131"/>
      <c r="T90" s="470" t="str">
        <f t="shared" si="70"/>
        <v>노임1002번</v>
      </c>
      <c r="W90" s="471">
        <f t="shared" ref="W90:X90" si="86">W89</f>
        <v>4</v>
      </c>
      <c r="X90" s="471" t="e">
        <f t="shared" si="86"/>
        <v>#REF!</v>
      </c>
      <c r="Y90" s="471" t="e">
        <f t="shared" si="72"/>
        <v>#REF!</v>
      </c>
      <c r="Z90" s="471"/>
      <c r="AA90" s="471"/>
    </row>
    <row r="91" spans="1:27" s="470" customFormat="1" ht="15.75" customHeight="1" x14ac:dyDescent="0.15">
      <c r="B91" s="95"/>
      <c r="C91" s="164" t="s">
        <v>774</v>
      </c>
      <c r="D91" s="165"/>
      <c r="E91" s="164" t="s">
        <v>775</v>
      </c>
      <c r="F91" s="442" t="s">
        <v>350</v>
      </c>
      <c r="G91" s="505"/>
      <c r="H91" s="463" t="str">
        <f t="shared" si="80"/>
        <v>PE 필름0.1mm * 180cm * 91m㎡</v>
      </c>
      <c r="I91" s="451"/>
      <c r="J91" s="506">
        <f>IF(OR($F91="인",$F91=""),"",VLOOKUP($H91,단가!$A:$S,19,FALSE))</f>
        <v>594</v>
      </c>
      <c r="K91" s="507">
        <f t="shared" si="81"/>
        <v>0</v>
      </c>
      <c r="L91" s="506" t="str">
        <f>IF($F91="인",VLOOKUP($C:$C,노임!$C:$G,4,FALSE),"")</f>
        <v/>
      </c>
      <c r="M91" s="507" t="str">
        <f t="shared" si="82"/>
        <v/>
      </c>
      <c r="N91" s="507"/>
      <c r="O91" s="507" t="str">
        <f t="shared" si="83"/>
        <v/>
      </c>
      <c r="P91" s="508"/>
      <c r="Q91" s="509" t="str">
        <f>IF(F91="인","노임"&amp;VLOOKUP($C:$C,노임!C:G,5,FALSE)&amp;"번","단가"&amp;VLOOKUP($H:$H,단가!$A:$B,2,FALSE)&amp;"번")</f>
        <v>단가59번</v>
      </c>
      <c r="R91" s="513"/>
      <c r="S91" s="131"/>
      <c r="T91" s="470" t="str">
        <f t="shared" si="70"/>
        <v>단가59번</v>
      </c>
      <c r="W91" s="471">
        <f t="shared" ref="W91:X91" si="87">W90</f>
        <v>4</v>
      </c>
      <c r="X91" s="471" t="e">
        <f t="shared" si="87"/>
        <v>#REF!</v>
      </c>
      <c r="Y91" s="471" t="e">
        <f t="shared" si="72"/>
        <v>#REF!</v>
      </c>
      <c r="Z91" s="471"/>
      <c r="AA91" s="471"/>
    </row>
    <row r="92" spans="1:27" s="470" customFormat="1" ht="15.75" customHeight="1" x14ac:dyDescent="0.15">
      <c r="B92" s="95"/>
      <c r="C92" s="140" t="s">
        <v>769</v>
      </c>
      <c r="D92" s="95"/>
      <c r="E92" s="141" t="s">
        <v>770</v>
      </c>
      <c r="F92" s="94" t="s">
        <v>771</v>
      </c>
      <c r="G92" s="505"/>
      <c r="H92" s="463" t="str">
        <f t="shared" si="80"/>
        <v>청면TAPE폭5cm*10m/roll m</v>
      </c>
      <c r="I92" s="451"/>
      <c r="J92" s="506">
        <f>IF(OR($F92="인",$F92=""),"",VLOOKUP($H92,단가!$A:$S,19,FALSE))</f>
        <v>77</v>
      </c>
      <c r="K92" s="507">
        <f t="shared" si="81"/>
        <v>0</v>
      </c>
      <c r="L92" s="506" t="str">
        <f>IF($F92="인",VLOOKUP($C:$C,노임!$C:$G,4,FALSE),"")</f>
        <v/>
      </c>
      <c r="M92" s="507" t="str">
        <f t="shared" si="82"/>
        <v/>
      </c>
      <c r="N92" s="507"/>
      <c r="O92" s="507" t="str">
        <f t="shared" si="83"/>
        <v/>
      </c>
      <c r="P92" s="508"/>
      <c r="Q92" s="509" t="str">
        <f>IF(F92="인","노임"&amp;VLOOKUP($C:$C,노임!C:G,5,FALSE)&amp;"번","단가"&amp;VLOOKUP($H:$H,단가!$A:$B,2,FALSE)&amp;"번")</f>
        <v>단가63번</v>
      </c>
      <c r="R92" s="513"/>
      <c r="S92" s="131"/>
      <c r="T92" s="470" t="str">
        <f t="shared" si="70"/>
        <v>단가63번</v>
      </c>
      <c r="W92" s="471">
        <f t="shared" ref="W92:X92" si="88">W91</f>
        <v>4</v>
      </c>
      <c r="X92" s="471" t="e">
        <f t="shared" si="88"/>
        <v>#REF!</v>
      </c>
      <c r="Y92" s="471" t="e">
        <f t="shared" si="72"/>
        <v>#REF!</v>
      </c>
      <c r="Z92" s="471"/>
      <c r="AA92" s="471"/>
    </row>
    <row r="93" spans="1:27" s="470" customFormat="1" ht="15.75" customHeight="1" x14ac:dyDescent="0.15">
      <c r="B93" s="95"/>
      <c r="C93" s="140" t="s">
        <v>772</v>
      </c>
      <c r="D93" s="95"/>
      <c r="E93" s="141"/>
      <c r="F93" s="94" t="s">
        <v>750</v>
      </c>
      <c r="G93" s="505"/>
      <c r="H93" s="463" t="str">
        <f t="shared" si="80"/>
        <v>보통인부인</v>
      </c>
      <c r="I93" s="451"/>
      <c r="J93" s="506" t="str">
        <f>IF(OR($F93="인",$F93=""),"",VLOOKUP($H93,단가!$A:$S,19,FALSE))</f>
        <v/>
      </c>
      <c r="K93" s="507" t="str">
        <f t="shared" si="81"/>
        <v/>
      </c>
      <c r="L93" s="506">
        <f>IF($F93="인",VLOOKUP($C:$C,노임!$C:$G,4,FALSE),"")</f>
        <v>106846</v>
      </c>
      <c r="M93" s="507">
        <f t="shared" si="82"/>
        <v>0</v>
      </c>
      <c r="N93" s="507"/>
      <c r="O93" s="507" t="str">
        <f t="shared" si="83"/>
        <v/>
      </c>
      <c r="P93" s="508"/>
      <c r="Q93" s="509" t="str">
        <f>IF(F93="인","노임"&amp;VLOOKUP($C:$C,노임!C:G,5,FALSE)&amp;"번","단가"&amp;VLOOKUP($H:$H,단가!$A:$B,2,FALSE)&amp;"번")</f>
        <v>노임1002번</v>
      </c>
      <c r="R93" s="513"/>
      <c r="S93" s="131"/>
      <c r="T93" s="470" t="str">
        <f t="shared" si="70"/>
        <v>노임1002번</v>
      </c>
      <c r="W93" s="471">
        <f t="shared" ref="W93:X93" si="89">W92</f>
        <v>4</v>
      </c>
      <c r="X93" s="471" t="e">
        <f t="shared" si="89"/>
        <v>#REF!</v>
      </c>
      <c r="Y93" s="471" t="e">
        <f t="shared" si="72"/>
        <v>#REF!</v>
      </c>
      <c r="Z93" s="471"/>
      <c r="AA93" s="471"/>
    </row>
    <row r="94" spans="1:27" s="470" customFormat="1" ht="15.75" customHeight="1" x14ac:dyDescent="0.15">
      <c r="B94" s="95"/>
      <c r="C94" s="140"/>
      <c r="D94" s="95"/>
      <c r="E94" s="141"/>
      <c r="F94" s="94"/>
      <c r="G94" s="505"/>
      <c r="H94" s="463" t="str">
        <f t="shared" ref="H94:H119" si="90">CONCATENATE(C94,E94,F94)</f>
        <v/>
      </c>
      <c r="I94" s="451"/>
      <c r="J94" s="506"/>
      <c r="K94" s="507"/>
      <c r="L94" s="506"/>
      <c r="M94" s="507"/>
      <c r="N94" s="507"/>
      <c r="O94" s="507"/>
      <c r="P94" s="535"/>
      <c r="Q94" s="512"/>
      <c r="R94" s="513"/>
      <c r="S94" s="131"/>
      <c r="T94" s="470" t="str">
        <f t="shared" si="70"/>
        <v/>
      </c>
      <c r="W94" s="471">
        <f t="shared" ref="W94:X94" si="91">W93</f>
        <v>4</v>
      </c>
      <c r="X94" s="471" t="e">
        <f t="shared" si="91"/>
        <v>#REF!</v>
      </c>
      <c r="Y94" s="471" t="e">
        <f t="shared" si="72"/>
        <v>#REF!</v>
      </c>
      <c r="Z94" s="471"/>
      <c r="AA94" s="471"/>
    </row>
    <row r="95" spans="1:27" s="470" customFormat="1" ht="15.75" customHeight="1" x14ac:dyDescent="0.15">
      <c r="B95" s="95"/>
      <c r="C95" s="140"/>
      <c r="D95" s="95"/>
      <c r="E95" s="141"/>
      <c r="F95" s="94"/>
      <c r="G95" s="505"/>
      <c r="H95" s="463" t="str">
        <f t="shared" si="90"/>
        <v/>
      </c>
      <c r="I95" s="451"/>
      <c r="J95" s="506"/>
      <c r="K95" s="507"/>
      <c r="L95" s="506"/>
      <c r="M95" s="507"/>
      <c r="N95" s="507"/>
      <c r="O95" s="507"/>
      <c r="P95" s="535"/>
      <c r="Q95" s="512"/>
      <c r="R95" s="513"/>
      <c r="S95" s="131"/>
      <c r="T95" s="470" t="str">
        <f t="shared" si="70"/>
        <v/>
      </c>
      <c r="W95" s="471">
        <f t="shared" ref="W95:X95" si="92">W94</f>
        <v>4</v>
      </c>
      <c r="X95" s="471" t="e">
        <f t="shared" si="92"/>
        <v>#REF!</v>
      </c>
      <c r="Y95" s="471" t="e">
        <f t="shared" si="72"/>
        <v>#REF!</v>
      </c>
      <c r="Z95" s="471"/>
      <c r="AA95" s="471"/>
    </row>
    <row r="96" spans="1:27" s="470" customFormat="1" ht="15.75" customHeight="1" x14ac:dyDescent="0.15">
      <c r="B96" s="95"/>
      <c r="C96" s="140"/>
      <c r="D96" s="95"/>
      <c r="E96" s="141"/>
      <c r="F96" s="94"/>
      <c r="G96" s="505"/>
      <c r="H96" s="463" t="str">
        <f t="shared" si="90"/>
        <v/>
      </c>
      <c r="I96" s="451"/>
      <c r="J96" s="506"/>
      <c r="K96" s="507"/>
      <c r="L96" s="506"/>
      <c r="M96" s="507"/>
      <c r="N96" s="507"/>
      <c r="O96" s="507"/>
      <c r="P96" s="535"/>
      <c r="Q96" s="512"/>
      <c r="R96" s="513"/>
      <c r="S96" s="131"/>
      <c r="T96" s="470" t="str">
        <f t="shared" si="70"/>
        <v/>
      </c>
      <c r="W96" s="471">
        <f t="shared" ref="W96:X96" si="93">W95</f>
        <v>4</v>
      </c>
      <c r="X96" s="471" t="e">
        <f t="shared" si="93"/>
        <v>#REF!</v>
      </c>
      <c r="Y96" s="471" t="e">
        <f t="shared" si="72"/>
        <v>#REF!</v>
      </c>
      <c r="Z96" s="471"/>
      <c r="AA96" s="471"/>
    </row>
    <row r="97" spans="1:27" s="470" customFormat="1" ht="15.75" customHeight="1" x14ac:dyDescent="0.15">
      <c r="B97" s="95"/>
      <c r="C97" s="140"/>
      <c r="D97" s="95"/>
      <c r="E97" s="141"/>
      <c r="F97" s="94"/>
      <c r="G97" s="505"/>
      <c r="H97" s="463" t="str">
        <f t="shared" si="90"/>
        <v/>
      </c>
      <c r="I97" s="451"/>
      <c r="J97" s="506"/>
      <c r="K97" s="507"/>
      <c r="L97" s="506"/>
      <c r="M97" s="507"/>
      <c r="N97" s="507"/>
      <c r="O97" s="507"/>
      <c r="P97" s="535"/>
      <c r="Q97" s="512"/>
      <c r="R97" s="513"/>
      <c r="S97" s="131"/>
      <c r="T97" s="470" t="str">
        <f t="shared" si="70"/>
        <v/>
      </c>
      <c r="W97" s="471">
        <f t="shared" ref="W97:X97" si="94">W96</f>
        <v>4</v>
      </c>
      <c r="X97" s="471" t="e">
        <f t="shared" si="94"/>
        <v>#REF!</v>
      </c>
      <c r="Y97" s="471" t="e">
        <f t="shared" si="72"/>
        <v>#REF!</v>
      </c>
      <c r="Z97" s="471"/>
      <c r="AA97" s="471"/>
    </row>
    <row r="98" spans="1:27" s="470" customFormat="1" ht="15.75" customHeight="1" x14ac:dyDescent="0.15">
      <c r="B98" s="95"/>
      <c r="C98" s="140"/>
      <c r="D98" s="95"/>
      <c r="E98" s="141"/>
      <c r="F98" s="94"/>
      <c r="G98" s="505"/>
      <c r="H98" s="463" t="str">
        <f t="shared" si="90"/>
        <v/>
      </c>
      <c r="I98" s="451"/>
      <c r="J98" s="506"/>
      <c r="K98" s="507"/>
      <c r="L98" s="506"/>
      <c r="M98" s="507"/>
      <c r="N98" s="507"/>
      <c r="O98" s="507"/>
      <c r="P98" s="535"/>
      <c r="Q98" s="512"/>
      <c r="R98" s="513"/>
      <c r="S98" s="131"/>
      <c r="T98" s="470" t="str">
        <f t="shared" si="70"/>
        <v/>
      </c>
      <c r="W98" s="471">
        <f t="shared" ref="W98:X98" si="95">W97</f>
        <v>4</v>
      </c>
      <c r="X98" s="471" t="e">
        <f t="shared" si="95"/>
        <v>#REF!</v>
      </c>
      <c r="Y98" s="471" t="e">
        <f t="shared" si="72"/>
        <v>#REF!</v>
      </c>
      <c r="Z98" s="471"/>
      <c r="AA98" s="471"/>
    </row>
    <row r="99" spans="1:27" s="470" customFormat="1" ht="15.75" customHeight="1" x14ac:dyDescent="0.15">
      <c r="B99" s="95"/>
      <c r="C99" s="140"/>
      <c r="D99" s="95"/>
      <c r="E99" s="141"/>
      <c r="F99" s="94"/>
      <c r="G99" s="505"/>
      <c r="H99" s="463" t="str">
        <f t="shared" si="90"/>
        <v/>
      </c>
      <c r="I99" s="451"/>
      <c r="J99" s="506"/>
      <c r="K99" s="507"/>
      <c r="L99" s="506"/>
      <c r="M99" s="507"/>
      <c r="N99" s="507"/>
      <c r="O99" s="507"/>
      <c r="P99" s="535"/>
      <c r="Q99" s="512"/>
      <c r="R99" s="513"/>
      <c r="S99" s="131"/>
      <c r="T99" s="470" t="str">
        <f t="shared" si="70"/>
        <v/>
      </c>
      <c r="W99" s="471">
        <f t="shared" ref="W99:X99" si="96">W98</f>
        <v>4</v>
      </c>
      <c r="X99" s="471" t="e">
        <f t="shared" si="96"/>
        <v>#REF!</v>
      </c>
      <c r="Y99" s="471" t="e">
        <f t="shared" si="72"/>
        <v>#REF!</v>
      </c>
      <c r="Z99" s="471"/>
      <c r="AA99" s="471"/>
    </row>
    <row r="100" spans="1:27" s="470" customFormat="1" ht="15.75" customHeight="1" x14ac:dyDescent="0.15">
      <c r="B100" s="95"/>
      <c r="C100" s="140"/>
      <c r="D100" s="95"/>
      <c r="E100" s="141"/>
      <c r="F100" s="94"/>
      <c r="G100" s="505"/>
      <c r="H100" s="463" t="str">
        <f t="shared" si="90"/>
        <v/>
      </c>
      <c r="I100" s="451"/>
      <c r="J100" s="506"/>
      <c r="K100" s="507"/>
      <c r="L100" s="506"/>
      <c r="M100" s="507"/>
      <c r="N100" s="507"/>
      <c r="O100" s="507"/>
      <c r="P100" s="535"/>
      <c r="Q100" s="512"/>
      <c r="R100" s="513"/>
      <c r="S100" s="131"/>
      <c r="T100" s="470" t="str">
        <f t="shared" si="70"/>
        <v/>
      </c>
      <c r="W100" s="471">
        <f t="shared" ref="W100:X100" si="97">W99</f>
        <v>4</v>
      </c>
      <c r="X100" s="471" t="e">
        <f t="shared" si="97"/>
        <v>#REF!</v>
      </c>
      <c r="Y100" s="471" t="e">
        <f t="shared" si="72"/>
        <v>#REF!</v>
      </c>
      <c r="Z100" s="471"/>
      <c r="AA100" s="471"/>
    </row>
    <row r="101" spans="1:27" s="470" customFormat="1" ht="15.75" customHeight="1" x14ac:dyDescent="0.15">
      <c r="B101" s="95"/>
      <c r="C101" s="140"/>
      <c r="D101" s="95"/>
      <c r="E101" s="141"/>
      <c r="F101" s="94"/>
      <c r="G101" s="505"/>
      <c r="H101" s="463" t="str">
        <f t="shared" si="90"/>
        <v/>
      </c>
      <c r="I101" s="451"/>
      <c r="J101" s="506"/>
      <c r="K101" s="507"/>
      <c r="L101" s="506"/>
      <c r="M101" s="507"/>
      <c r="N101" s="507"/>
      <c r="O101" s="507"/>
      <c r="P101" s="535"/>
      <c r="Q101" s="512"/>
      <c r="R101" s="513"/>
      <c r="S101" s="131"/>
      <c r="T101" s="470" t="str">
        <f t="shared" si="70"/>
        <v/>
      </c>
      <c r="W101" s="471">
        <f t="shared" ref="W101:X101" si="98">W100</f>
        <v>4</v>
      </c>
      <c r="X101" s="471" t="e">
        <f t="shared" si="98"/>
        <v>#REF!</v>
      </c>
      <c r="Y101" s="471" t="e">
        <f t="shared" si="72"/>
        <v>#REF!</v>
      </c>
      <c r="Z101" s="471"/>
      <c r="AA101" s="471"/>
    </row>
    <row r="102" spans="1:27" s="470" customFormat="1" ht="15.75" customHeight="1" x14ac:dyDescent="0.15">
      <c r="A102" s="457"/>
      <c r="B102" s="514" t="s">
        <v>751</v>
      </c>
      <c r="C102" s="515"/>
      <c r="D102" s="516"/>
      <c r="E102" s="517"/>
      <c r="F102" s="518"/>
      <c r="G102" s="519"/>
      <c r="H102" s="463" t="str">
        <f t="shared" si="90"/>
        <v/>
      </c>
      <c r="I102" s="520">
        <f>목록!$B$9</f>
        <v>4</v>
      </c>
      <c r="J102" s="521"/>
      <c r="K102" s="522">
        <f>SUM(K88:K101)</f>
        <v>2478</v>
      </c>
      <c r="L102" s="521"/>
      <c r="M102" s="522">
        <f>SUM(M88:M101)</f>
        <v>1068</v>
      </c>
      <c r="N102" s="521"/>
      <c r="O102" s="522">
        <f>SUM(O88:O101)</f>
        <v>0</v>
      </c>
      <c r="P102" s="536"/>
      <c r="Q102" s="512"/>
      <c r="R102" s="513"/>
      <c r="S102" s="542"/>
      <c r="T102" s="470" t="str">
        <f t="shared" si="70"/>
        <v/>
      </c>
      <c r="W102" s="471">
        <f t="shared" ref="W102:X102" si="99">W101</f>
        <v>4</v>
      </c>
      <c r="X102" s="471" t="e">
        <f t="shared" si="99"/>
        <v>#REF!</v>
      </c>
      <c r="Y102" s="471" t="e">
        <f t="shared" si="72"/>
        <v>#REF!</v>
      </c>
      <c r="Z102" s="471"/>
      <c r="AA102" s="471"/>
    </row>
    <row r="103" spans="1:27" s="470" customFormat="1" ht="15.75" customHeight="1" x14ac:dyDescent="0.15">
      <c r="B103" s="453"/>
      <c r="C103" s="540" t="s">
        <v>1012</v>
      </c>
      <c r="D103" s="95"/>
      <c r="E103" s="141"/>
      <c r="F103" s="94"/>
      <c r="G103" s="505"/>
      <c r="H103" s="463" t="str">
        <f t="shared" si="90"/>
        <v>※ 건축표준품셈 : 2-9 건축물 보양  기타부분(목재) 기준</v>
      </c>
      <c r="I103" s="451"/>
      <c r="J103" s="506"/>
      <c r="K103" s="507"/>
      <c r="L103" s="506"/>
      <c r="M103" s="507"/>
      <c r="N103" s="507"/>
      <c r="O103" s="507"/>
      <c r="P103" s="535"/>
      <c r="Q103" s="512"/>
      <c r="R103" s="513"/>
      <c r="S103" s="131"/>
      <c r="T103" s="470" t="str">
        <f t="shared" si="70"/>
        <v/>
      </c>
      <c r="W103" s="615">
        <f t="shared" ref="W103:X103" si="100">W102</f>
        <v>4</v>
      </c>
      <c r="X103" s="471" t="e">
        <f t="shared" si="100"/>
        <v>#REF!</v>
      </c>
      <c r="Y103" s="471" t="e">
        <f t="shared" si="72"/>
        <v>#REF!</v>
      </c>
      <c r="Z103" s="471"/>
      <c r="AA103" s="471"/>
    </row>
    <row r="104" spans="1:27" s="457" customFormat="1" ht="15.75" customHeight="1" x14ac:dyDescent="0.15">
      <c r="A104" s="470"/>
      <c r="B104" s="453"/>
      <c r="C104" s="209" t="s">
        <v>537</v>
      </c>
      <c r="D104" s="95"/>
      <c r="E104" s="141"/>
      <c r="F104" s="94"/>
      <c r="G104" s="505"/>
      <c r="H104" s="463" t="str">
        <f t="shared" si="90"/>
        <v xml:space="preserve">* 청면 TAPE:(10*12)+(10*6)/(10*10)=1.8 (골판지 900*1800기준) </v>
      </c>
      <c r="I104" s="451"/>
      <c r="J104" s="506"/>
      <c r="K104" s="507"/>
      <c r="L104" s="506"/>
      <c r="M104" s="507"/>
      <c r="N104" s="507"/>
      <c r="O104" s="507"/>
      <c r="P104" s="535"/>
      <c r="Q104" s="512"/>
      <c r="R104" s="513"/>
      <c r="S104" s="131"/>
      <c r="T104" s="470" t="str">
        <f t="shared" si="70"/>
        <v/>
      </c>
      <c r="V104" s="470"/>
      <c r="W104" s="471">
        <f t="shared" ref="W104:X104" si="101">W103</f>
        <v>4</v>
      </c>
      <c r="X104" s="471" t="e">
        <f t="shared" si="101"/>
        <v>#REF!</v>
      </c>
      <c r="Y104" s="471" t="e">
        <f t="shared" si="72"/>
        <v>#REF!</v>
      </c>
      <c r="Z104" s="471"/>
      <c r="AA104" s="471"/>
    </row>
    <row r="105" spans="1:27" s="470" customFormat="1" ht="15.75" customHeight="1" x14ac:dyDescent="0.15">
      <c r="A105" s="457"/>
      <c r="B105" s="514"/>
      <c r="C105" s="543"/>
      <c r="D105" s="516"/>
      <c r="E105" s="517"/>
      <c r="F105" s="518"/>
      <c r="G105" s="519"/>
      <c r="H105" s="463" t="str">
        <f t="shared" si="90"/>
        <v/>
      </c>
      <c r="I105" s="520"/>
      <c r="J105" s="521"/>
      <c r="K105" s="522"/>
      <c r="L105" s="521"/>
      <c r="M105" s="522"/>
      <c r="N105" s="521"/>
      <c r="O105" s="522"/>
      <c r="P105" s="544"/>
      <c r="Q105" s="512"/>
      <c r="R105" s="513"/>
      <c r="S105" s="524"/>
      <c r="T105" s="470" t="str">
        <f t="shared" si="70"/>
        <v/>
      </c>
      <c r="W105" s="471">
        <f t="shared" ref="W105:X105" si="102">W104</f>
        <v>4</v>
      </c>
      <c r="X105" s="471" t="e">
        <f t="shared" si="102"/>
        <v>#REF!</v>
      </c>
      <c r="Y105" s="471" t="e">
        <f t="shared" si="72"/>
        <v>#REF!</v>
      </c>
      <c r="Z105" s="471"/>
      <c r="AA105" s="471"/>
    </row>
    <row r="106" spans="1:27" s="599" customFormat="1" ht="15.75" customHeight="1" x14ac:dyDescent="0.15">
      <c r="A106" s="473"/>
      <c r="B106" s="473"/>
      <c r="C106" s="458"/>
      <c r="D106" s="459"/>
      <c r="E106" s="460"/>
      <c r="F106" s="461"/>
      <c r="G106" s="462"/>
      <c r="H106" s="463" t="str">
        <f t="shared" si="90"/>
        <v/>
      </c>
      <c r="I106" s="464"/>
      <c r="J106" s="465"/>
      <c r="K106" s="465"/>
      <c r="L106" s="465"/>
      <c r="M106" s="465"/>
      <c r="N106" s="465"/>
      <c r="O106" s="466"/>
      <c r="P106" s="467"/>
      <c r="Q106" s="468"/>
      <c r="R106" s="526"/>
      <c r="S106" s="467"/>
      <c r="T106" s="599" t="str">
        <f t="shared" ref="T106:T131" si="103">CONCATENATE(Q106,R106)</f>
        <v/>
      </c>
      <c r="W106" s="533">
        <f t="shared" ref="W106" si="104">I128</f>
        <v>5</v>
      </c>
      <c r="X106" s="533" t="e">
        <f>#REF!+1</f>
        <v>#REF!</v>
      </c>
      <c r="Y106" s="533" t="e">
        <f t="shared" ref="Y106:Y131" si="105">X106-W106</f>
        <v>#REF!</v>
      </c>
      <c r="Z106" s="533"/>
      <c r="AA106" s="533"/>
    </row>
    <row r="107" spans="1:27" s="473" customFormat="1" ht="15.75" customHeight="1" x14ac:dyDescent="0.15">
      <c r="C107" s="746" t="str">
        <f>"   항목번호 : "&amp;목록!L$10</f>
        <v xml:space="preserve">   항목번호 : 제5호표</v>
      </c>
      <c r="D107" s="475">
        <f>목록!B$9</f>
        <v>4</v>
      </c>
      <c r="E107" s="476"/>
      <c r="G107" s="478"/>
      <c r="H107" s="463" t="str">
        <f t="shared" si="90"/>
        <v xml:space="preserve">   항목번호 : 제5호표</v>
      </c>
      <c r="I107" s="479"/>
      <c r="J107" s="488"/>
      <c r="K107" s="481"/>
      <c r="L107" s="482"/>
      <c r="M107" s="482"/>
      <c r="N107" s="482"/>
      <c r="O107" s="466"/>
      <c r="P107" s="483"/>
      <c r="Q107" s="654"/>
      <c r="R107" s="485"/>
      <c r="S107" s="483"/>
      <c r="T107" s="599" t="str">
        <f t="shared" si="103"/>
        <v/>
      </c>
      <c r="V107" s="599"/>
      <c r="W107" s="471">
        <f t="shared" ref="W107:X107" si="106">W106</f>
        <v>5</v>
      </c>
      <c r="X107" s="471" t="e">
        <f t="shared" si="106"/>
        <v>#REF!</v>
      </c>
      <c r="Y107" s="471" t="e">
        <f t="shared" si="105"/>
        <v>#REF!</v>
      </c>
      <c r="Z107" s="471"/>
      <c r="AA107" s="471"/>
    </row>
    <row r="108" spans="1:27" s="473" customFormat="1" ht="15.75" customHeight="1" x14ac:dyDescent="0.15">
      <c r="C108" s="746" t="str">
        <f>"   공      종 : "&amp;목록!D$10</f>
        <v xml:space="preserve">   공      종 : 벽체 철거</v>
      </c>
      <c r="D108" s="654"/>
      <c r="E108" s="476"/>
      <c r="G108" s="478"/>
      <c r="H108" s="463" t="str">
        <f t="shared" si="90"/>
        <v xml:space="preserve">   공      종 : 벽체 철거</v>
      </c>
      <c r="I108" s="479"/>
      <c r="J108" s="488"/>
      <c r="K108" s="481"/>
      <c r="L108" s="482"/>
      <c r="M108" s="482"/>
      <c r="N108" s="482"/>
      <c r="O108" s="466"/>
      <c r="P108" s="483"/>
      <c r="Q108" s="654"/>
      <c r="R108" s="485"/>
      <c r="S108" s="483"/>
      <c r="T108" s="599" t="str">
        <f t="shared" si="103"/>
        <v/>
      </c>
      <c r="V108" s="599"/>
      <c r="W108" s="471">
        <f t="shared" ref="W108:X108" si="107">W107</f>
        <v>5</v>
      </c>
      <c r="X108" s="471" t="e">
        <f t="shared" si="107"/>
        <v>#REF!</v>
      </c>
      <c r="Y108" s="471" t="e">
        <f t="shared" si="105"/>
        <v>#REF!</v>
      </c>
      <c r="Z108" s="471"/>
      <c r="AA108" s="471"/>
    </row>
    <row r="109" spans="1:27" s="473" customFormat="1" ht="15.75" customHeight="1" x14ac:dyDescent="0.15">
      <c r="C109" s="746" t="str">
        <f xml:space="preserve"> "   규      격 : "&amp;목록!F$10</f>
        <v xml:space="preserve">   규      격 : 구조부 철거</v>
      </c>
      <c r="D109" s="654"/>
      <c r="E109" s="476"/>
      <c r="G109" s="478"/>
      <c r="H109" s="463" t="str">
        <f t="shared" si="90"/>
        <v xml:space="preserve">   규      격 : 구조부 철거</v>
      </c>
      <c r="I109" s="479"/>
      <c r="J109" s="488" t="s">
        <v>348</v>
      </c>
      <c r="K109" s="481"/>
      <c r="L109" s="482" t="s">
        <v>349</v>
      </c>
      <c r="M109" s="482"/>
      <c r="N109" s="482" t="s">
        <v>240</v>
      </c>
      <c r="O109" s="466"/>
      <c r="P109" s="483"/>
      <c r="Q109" s="654" t="s">
        <v>752</v>
      </c>
      <c r="R109" s="654"/>
      <c r="S109" s="483"/>
      <c r="T109" s="599" t="str">
        <f t="shared" si="103"/>
        <v>합계</v>
      </c>
      <c r="V109" s="599"/>
      <c r="W109" s="471">
        <f t="shared" ref="W109:X109" si="108">W108</f>
        <v>5</v>
      </c>
      <c r="X109" s="471" t="e">
        <f t="shared" si="108"/>
        <v>#REF!</v>
      </c>
      <c r="Y109" s="471" t="e">
        <f t="shared" si="105"/>
        <v>#REF!</v>
      </c>
      <c r="Z109" s="471"/>
      <c r="AA109" s="471"/>
    </row>
    <row r="110" spans="1:27" s="473" customFormat="1" ht="15.75" customHeight="1" x14ac:dyDescent="0.15">
      <c r="C110" s="746" t="str">
        <f>"   단      위 : "&amp;목록!G$10</f>
        <v xml:space="preserve">   단      위 : ㎡</v>
      </c>
      <c r="D110" s="654"/>
      <c r="E110" s="476"/>
      <c r="G110" s="478"/>
      <c r="H110" s="463" t="str">
        <f t="shared" si="90"/>
        <v xml:space="preserve">   단      위 : ㎡</v>
      </c>
      <c r="I110" s="479"/>
      <c r="J110" s="489">
        <f>K128</f>
        <v>587</v>
      </c>
      <c r="K110" s="481"/>
      <c r="L110" s="487">
        <f>M128</f>
        <v>11748</v>
      </c>
      <c r="M110" s="482"/>
      <c r="N110" s="482">
        <f>O128</f>
        <v>0</v>
      </c>
      <c r="O110" s="466"/>
      <c r="P110" s="483"/>
      <c r="Q110" s="488">
        <f>J110+L110+N110</f>
        <v>12335</v>
      </c>
      <c r="R110" s="489"/>
      <c r="S110" s="483"/>
      <c r="T110" s="599" t="str">
        <f t="shared" si="103"/>
        <v>12335</v>
      </c>
      <c r="V110" s="599"/>
      <c r="W110" s="471">
        <f t="shared" ref="W110:X110" si="109">W109</f>
        <v>5</v>
      </c>
      <c r="X110" s="471" t="e">
        <f t="shared" si="109"/>
        <v>#REF!</v>
      </c>
      <c r="Y110" s="471" t="e">
        <f t="shared" si="105"/>
        <v>#REF!</v>
      </c>
      <c r="Z110" s="471"/>
      <c r="AA110" s="471"/>
    </row>
    <row r="111" spans="1:27" s="473" customFormat="1" ht="15.75" customHeight="1" x14ac:dyDescent="0.15">
      <c r="C111" s="746"/>
      <c r="D111" s="654"/>
      <c r="E111" s="476"/>
      <c r="G111" s="490"/>
      <c r="H111" s="463" t="str">
        <f t="shared" si="90"/>
        <v/>
      </c>
      <c r="I111" s="491"/>
      <c r="J111" s="482"/>
      <c r="K111" s="465"/>
      <c r="L111" s="482"/>
      <c r="M111" s="482"/>
      <c r="N111" s="482"/>
      <c r="O111" s="466"/>
      <c r="P111" s="492"/>
      <c r="Q111" s="493"/>
      <c r="R111" s="485"/>
      <c r="S111" s="492"/>
      <c r="T111" s="599" t="str">
        <f t="shared" si="103"/>
        <v/>
      </c>
      <c r="V111" s="599"/>
      <c r="W111" s="471">
        <f t="shared" ref="W111:X111" si="110">W110</f>
        <v>5</v>
      </c>
      <c r="X111" s="471" t="e">
        <f t="shared" si="110"/>
        <v>#REF!</v>
      </c>
      <c r="Y111" s="471" t="e">
        <f t="shared" si="105"/>
        <v>#REF!</v>
      </c>
      <c r="Z111" s="471"/>
      <c r="AA111" s="471"/>
    </row>
    <row r="112" spans="1:27" s="473" customFormat="1" ht="15.75" customHeight="1" x14ac:dyDescent="0.15">
      <c r="B112" s="899" t="s">
        <v>375</v>
      </c>
      <c r="C112" s="900"/>
      <c r="D112" s="907" t="s">
        <v>356</v>
      </c>
      <c r="E112" s="908"/>
      <c r="F112" s="903" t="s">
        <v>753</v>
      </c>
      <c r="G112" s="913" t="s">
        <v>754</v>
      </c>
      <c r="H112" s="463" t="str">
        <f t="shared" si="90"/>
        <v>단위</v>
      </c>
      <c r="I112" s="623"/>
      <c r="J112" s="495" t="s">
        <v>348</v>
      </c>
      <c r="K112" s="496"/>
      <c r="L112" s="495" t="s">
        <v>349</v>
      </c>
      <c r="M112" s="496"/>
      <c r="N112" s="497" t="s">
        <v>240</v>
      </c>
      <c r="O112" s="497"/>
      <c r="P112" s="498"/>
      <c r="Q112" s="833" t="s">
        <v>355</v>
      </c>
      <c r="R112" s="833"/>
      <c r="S112" s="499"/>
      <c r="T112" s="599" t="str">
        <f t="shared" si="103"/>
        <v>비  고</v>
      </c>
      <c r="V112" s="599"/>
      <c r="W112" s="471">
        <f t="shared" ref="W112:X112" si="111">W111</f>
        <v>5</v>
      </c>
      <c r="X112" s="471" t="e">
        <f t="shared" si="111"/>
        <v>#REF!</v>
      </c>
      <c r="Y112" s="471" t="e">
        <f t="shared" si="105"/>
        <v>#REF!</v>
      </c>
      <c r="Z112" s="471"/>
      <c r="AA112" s="471"/>
    </row>
    <row r="113" spans="1:27" s="473" customFormat="1" ht="15.75" customHeight="1" x14ac:dyDescent="0.15">
      <c r="B113" s="901"/>
      <c r="C113" s="902"/>
      <c r="D113" s="909"/>
      <c r="E113" s="910"/>
      <c r="F113" s="904"/>
      <c r="G113" s="914"/>
      <c r="H113" s="463" t="str">
        <f t="shared" si="90"/>
        <v/>
      </c>
      <c r="I113" s="624"/>
      <c r="J113" s="501" t="s">
        <v>353</v>
      </c>
      <c r="K113" s="501" t="s">
        <v>354</v>
      </c>
      <c r="L113" s="501" t="s">
        <v>353</v>
      </c>
      <c r="M113" s="749" t="s">
        <v>354</v>
      </c>
      <c r="N113" s="501" t="s">
        <v>353</v>
      </c>
      <c r="O113" s="501" t="s">
        <v>354</v>
      </c>
      <c r="P113" s="837"/>
      <c r="Q113" s="834"/>
      <c r="R113" s="834"/>
      <c r="S113" s="504"/>
      <c r="T113" s="599" t="str">
        <f t="shared" si="103"/>
        <v/>
      </c>
      <c r="V113" s="599"/>
      <c r="W113" s="471">
        <f t="shared" ref="W113:X113" si="112">W112</f>
        <v>5</v>
      </c>
      <c r="X113" s="471" t="e">
        <f t="shared" si="112"/>
        <v>#REF!</v>
      </c>
      <c r="Y113" s="471" t="e">
        <f t="shared" si="105"/>
        <v>#REF!</v>
      </c>
      <c r="Z113" s="471"/>
      <c r="AA113" s="471"/>
    </row>
    <row r="114" spans="1:27" s="473" customFormat="1" ht="15.75" customHeight="1" x14ac:dyDescent="0.15">
      <c r="A114" s="599"/>
      <c r="B114" s="670"/>
      <c r="C114" s="822" t="s">
        <v>1458</v>
      </c>
      <c r="D114" s="736"/>
      <c r="E114" s="823"/>
      <c r="F114" s="737" t="s">
        <v>1459</v>
      </c>
      <c r="G114" s="824">
        <f>0.06*60%</f>
        <v>3.5999999999999997E-2</v>
      </c>
      <c r="H114" s="463" t="str">
        <f t="shared" si="90"/>
        <v>건축목공인</v>
      </c>
      <c r="I114" s="671" t="str">
        <f>CONCATENATE(C114,E114,F114)</f>
        <v>건축목공인</v>
      </c>
      <c r="J114" s="506" t="str">
        <f>IF(OR($F114="인",$F114=""),"",VLOOKUP($H114,단가!$A:$S,19,FALSE))</f>
        <v/>
      </c>
      <c r="K114" s="507" t="str">
        <f t="shared" ref="K114:K117" si="113">IF(J114="","",TRUNC($G114*J114,0))</f>
        <v/>
      </c>
      <c r="L114" s="506">
        <f>IF($F114="인",VLOOKUP($C:$C,노임!$C:$G,4,FALSE),"")</f>
        <v>169062</v>
      </c>
      <c r="M114" s="507">
        <f t="shared" ref="M114:M117" si="114">IF(L114="","",TRUNC($G114*L114,0))</f>
        <v>6086</v>
      </c>
      <c r="N114" s="507"/>
      <c r="O114" s="507" t="str">
        <f t="shared" ref="O114:O117" si="115">IF(N114="","",TRUNC($G114*N114,0))</f>
        <v/>
      </c>
      <c r="P114" s="508"/>
      <c r="Q114" s="509" t="str">
        <f>IF(F114="인","노임"&amp;VLOOKUP($C:$C,노임!C:G,5,FALSE)&amp;"번","단가"&amp;VLOOKUP($H:$H,단가!$A:$B,2,FALSE)&amp;"번")</f>
        <v>노임1023번</v>
      </c>
      <c r="R114" s="510"/>
      <c r="S114" s="131"/>
      <c r="T114" s="599" t="str">
        <f t="shared" si="103"/>
        <v>노임1023번</v>
      </c>
      <c r="V114" s="599"/>
      <c r="W114" s="471">
        <f t="shared" ref="W114:X114" si="116">W113</f>
        <v>5</v>
      </c>
      <c r="X114" s="471" t="e">
        <f t="shared" si="116"/>
        <v>#REF!</v>
      </c>
      <c r="Y114" s="471" t="e">
        <f t="shared" si="105"/>
        <v>#REF!</v>
      </c>
      <c r="Z114" s="471"/>
      <c r="AA114" s="471"/>
    </row>
    <row r="115" spans="1:27" s="473" customFormat="1" ht="15.75" customHeight="1" x14ac:dyDescent="0.15">
      <c r="A115" s="599"/>
      <c r="B115" s="670"/>
      <c r="C115" s="822" t="s">
        <v>1460</v>
      </c>
      <c r="D115" s="736"/>
      <c r="E115" s="823"/>
      <c r="F115" s="737" t="s">
        <v>1459</v>
      </c>
      <c r="G115" s="824">
        <f>0.03*100%</f>
        <v>0.03</v>
      </c>
      <c r="H115" s="463" t="str">
        <f t="shared" si="90"/>
        <v>보통인부인</v>
      </c>
      <c r="I115" s="671" t="str">
        <f>CONCATENATE(C115,E115,F115)</f>
        <v>보통인부인</v>
      </c>
      <c r="J115" s="506" t="str">
        <f>IF(OR($F115="인",$F115=""),"",VLOOKUP($H115,단가!$A:$S,19,FALSE))</f>
        <v/>
      </c>
      <c r="K115" s="507" t="str">
        <f t="shared" si="113"/>
        <v/>
      </c>
      <c r="L115" s="506">
        <f>IF($F115="인",VLOOKUP($C:$C,노임!$C:$G,4,FALSE),"")</f>
        <v>106846</v>
      </c>
      <c r="M115" s="507">
        <f t="shared" si="114"/>
        <v>3205</v>
      </c>
      <c r="N115" s="507"/>
      <c r="O115" s="507" t="str">
        <f t="shared" si="115"/>
        <v/>
      </c>
      <c r="P115" s="508"/>
      <c r="Q115" s="509" t="str">
        <f>IF(F115="인","노임"&amp;VLOOKUP($C:$C,노임!C:G,5,FALSE)&amp;"번","단가"&amp;VLOOKUP($H:$H,단가!$A:$B,2,FALSE)&amp;"번")</f>
        <v>노임1002번</v>
      </c>
      <c r="R115" s="510"/>
      <c r="S115" s="131"/>
      <c r="T115" s="599" t="str">
        <f t="shared" si="103"/>
        <v>노임1002번</v>
      </c>
      <c r="V115" s="599"/>
      <c r="W115" s="471">
        <f t="shared" ref="W115:X115" si="117">W114</f>
        <v>5</v>
      </c>
      <c r="X115" s="471" t="e">
        <f t="shared" si="117"/>
        <v>#REF!</v>
      </c>
      <c r="Y115" s="471" t="e">
        <f t="shared" si="105"/>
        <v>#REF!</v>
      </c>
      <c r="Z115" s="471"/>
      <c r="AA115" s="471"/>
    </row>
    <row r="116" spans="1:27" s="599" customFormat="1" ht="15.75" customHeight="1" x14ac:dyDescent="0.15">
      <c r="B116" s="670"/>
      <c r="C116" s="855" t="s">
        <v>1460</v>
      </c>
      <c r="D116" s="856"/>
      <c r="E116" s="855" t="s">
        <v>1461</v>
      </c>
      <c r="F116" s="857" t="s">
        <v>1459</v>
      </c>
      <c r="G116" s="824">
        <v>2.3E-2</v>
      </c>
      <c r="H116" s="463" t="str">
        <f t="shared" si="90"/>
        <v>보통인부폐자재 반출 및 상차인</v>
      </c>
      <c r="I116" s="671" t="str">
        <f>CONCATENATE(C116,E116,F116)</f>
        <v>보통인부폐자재 반출 및 상차인</v>
      </c>
      <c r="J116" s="506" t="str">
        <f>IF(OR($F116="인",$F116=""),"",VLOOKUP($H116,단가!$A:$S,19,FALSE))</f>
        <v/>
      </c>
      <c r="K116" s="507" t="str">
        <f t="shared" si="113"/>
        <v/>
      </c>
      <c r="L116" s="506">
        <f>IF($F116="인",VLOOKUP($C:$C,노임!$C:$G,4,FALSE),"")</f>
        <v>106846</v>
      </c>
      <c r="M116" s="507">
        <f t="shared" si="114"/>
        <v>2457</v>
      </c>
      <c r="N116" s="507"/>
      <c r="O116" s="507" t="str">
        <f t="shared" si="115"/>
        <v/>
      </c>
      <c r="P116" s="508"/>
      <c r="Q116" s="509" t="str">
        <f>IF(F116="인","노임"&amp;VLOOKUP($C:$C,노임!C:G,5,FALSE)&amp;"번","단가"&amp;VLOOKUP($H:$H,단가!$A:$B,2,FALSE)&amp;"번")</f>
        <v>노임1002번</v>
      </c>
      <c r="R116" s="510"/>
      <c r="S116" s="131"/>
      <c r="T116" s="599" t="str">
        <f t="shared" si="103"/>
        <v>노임1002번</v>
      </c>
      <c r="W116" s="471">
        <f t="shared" ref="W116:X116" si="118">W115</f>
        <v>5</v>
      </c>
      <c r="X116" s="471" t="e">
        <f t="shared" si="118"/>
        <v>#REF!</v>
      </c>
      <c r="Y116" s="471" t="e">
        <f t="shared" si="105"/>
        <v>#REF!</v>
      </c>
      <c r="Z116" s="471"/>
      <c r="AA116" s="471"/>
    </row>
    <row r="117" spans="1:27" s="599" customFormat="1" ht="15.75" customHeight="1" x14ac:dyDescent="0.15">
      <c r="B117" s="670"/>
      <c r="C117" s="822" t="s">
        <v>1462</v>
      </c>
      <c r="D117" s="736"/>
      <c r="E117" s="823" t="s">
        <v>1463</v>
      </c>
      <c r="F117" s="737" t="s">
        <v>1464</v>
      </c>
      <c r="G117" s="824">
        <v>1</v>
      </c>
      <c r="H117" s="463" t="str">
        <f t="shared" si="90"/>
        <v>공구손료노무비의 5%식</v>
      </c>
      <c r="I117" s="671"/>
      <c r="J117" s="858">
        <f>TRUNC(SUM(M128)*5%,0)</f>
        <v>587</v>
      </c>
      <c r="K117" s="507">
        <f t="shared" si="113"/>
        <v>587</v>
      </c>
      <c r="L117" s="506" t="str">
        <f>IF($F117="인",VLOOKUP($C:$C,노임!$C:$G,4,FALSE),"")</f>
        <v/>
      </c>
      <c r="M117" s="507" t="str">
        <f t="shared" si="114"/>
        <v/>
      </c>
      <c r="N117" s="507"/>
      <c r="O117" s="507" t="str">
        <f t="shared" si="115"/>
        <v/>
      </c>
      <c r="P117" s="508"/>
      <c r="Q117" s="509"/>
      <c r="R117" s="513"/>
      <c r="S117" s="131"/>
      <c r="T117" s="599" t="str">
        <f t="shared" si="103"/>
        <v/>
      </c>
      <c r="W117" s="471">
        <f t="shared" ref="W117:X117" si="119">W116</f>
        <v>5</v>
      </c>
      <c r="X117" s="471" t="e">
        <f t="shared" si="119"/>
        <v>#REF!</v>
      </c>
      <c r="Y117" s="471" t="e">
        <f t="shared" si="105"/>
        <v>#REF!</v>
      </c>
      <c r="Z117" s="471"/>
      <c r="AA117" s="471"/>
    </row>
    <row r="118" spans="1:27" s="599" customFormat="1" ht="15.75" customHeight="1" x14ac:dyDescent="0.15">
      <c r="B118" s="670"/>
      <c r="C118" s="822"/>
      <c r="D118" s="736"/>
      <c r="E118" s="823"/>
      <c r="F118" s="737"/>
      <c r="G118" s="824"/>
      <c r="H118" s="463" t="str">
        <f t="shared" si="90"/>
        <v/>
      </c>
      <c r="I118" s="671"/>
      <c r="J118" s="506"/>
      <c r="K118" s="507"/>
      <c r="L118" s="506"/>
      <c r="M118" s="507"/>
      <c r="N118" s="507"/>
      <c r="O118" s="507"/>
      <c r="P118" s="535"/>
      <c r="Q118" s="512"/>
      <c r="R118" s="513"/>
      <c r="S118" s="131"/>
      <c r="T118" s="599" t="str">
        <f t="shared" ref="T118:T119" si="120">CONCATENATE(Q118,R118)</f>
        <v/>
      </c>
      <c r="W118" s="471">
        <f t="shared" ref="W118:X118" si="121">W117</f>
        <v>5</v>
      </c>
      <c r="X118" s="471" t="e">
        <f t="shared" si="121"/>
        <v>#REF!</v>
      </c>
      <c r="Y118" s="471" t="e">
        <f t="shared" ref="Y118:Y119" si="122">X118-W118</f>
        <v>#REF!</v>
      </c>
      <c r="Z118" s="471"/>
      <c r="AA118" s="471"/>
    </row>
    <row r="119" spans="1:27" s="599" customFormat="1" ht="15.75" customHeight="1" x14ac:dyDescent="0.15">
      <c r="B119" s="670"/>
      <c r="C119" s="822"/>
      <c r="D119" s="736"/>
      <c r="E119" s="823"/>
      <c r="F119" s="737"/>
      <c r="G119" s="824"/>
      <c r="H119" s="463" t="str">
        <f t="shared" si="90"/>
        <v/>
      </c>
      <c r="I119" s="671"/>
      <c r="J119" s="506"/>
      <c r="K119" s="507"/>
      <c r="L119" s="506"/>
      <c r="M119" s="507"/>
      <c r="N119" s="507"/>
      <c r="O119" s="507"/>
      <c r="P119" s="535"/>
      <c r="Q119" s="512"/>
      <c r="R119" s="513"/>
      <c r="S119" s="131"/>
      <c r="T119" s="599" t="str">
        <f t="shared" si="120"/>
        <v/>
      </c>
      <c r="W119" s="471">
        <f t="shared" ref="W119:X119" si="123">W118</f>
        <v>5</v>
      </c>
      <c r="X119" s="471" t="e">
        <f t="shared" si="123"/>
        <v>#REF!</v>
      </c>
      <c r="Y119" s="471" t="e">
        <f t="shared" si="122"/>
        <v>#REF!</v>
      </c>
      <c r="Z119" s="471"/>
      <c r="AA119" s="471"/>
    </row>
    <row r="120" spans="1:27" s="599" customFormat="1" ht="15.75" customHeight="1" x14ac:dyDescent="0.15">
      <c r="B120" s="670"/>
      <c r="C120" s="822"/>
      <c r="D120" s="736"/>
      <c r="E120" s="823"/>
      <c r="F120" s="737"/>
      <c r="G120" s="824"/>
      <c r="H120" s="463" t="str">
        <f t="shared" ref="H120:H145" si="124">CONCATENATE(C120,E120,F120)</f>
        <v/>
      </c>
      <c r="I120" s="671"/>
      <c r="J120" s="506"/>
      <c r="K120" s="507"/>
      <c r="L120" s="506"/>
      <c r="M120" s="507"/>
      <c r="N120" s="507"/>
      <c r="O120" s="507"/>
      <c r="P120" s="535"/>
      <c r="Q120" s="512"/>
      <c r="R120" s="513"/>
      <c r="S120" s="131"/>
      <c r="T120" s="599" t="str">
        <f t="shared" si="103"/>
        <v/>
      </c>
      <c r="W120" s="471">
        <f t="shared" ref="W120:X120" si="125">W119</f>
        <v>5</v>
      </c>
      <c r="X120" s="471" t="e">
        <f t="shared" si="125"/>
        <v>#REF!</v>
      </c>
      <c r="Y120" s="471" t="e">
        <f t="shared" si="105"/>
        <v>#REF!</v>
      </c>
      <c r="Z120" s="471"/>
      <c r="AA120" s="471"/>
    </row>
    <row r="121" spans="1:27" s="599" customFormat="1" ht="15.75" customHeight="1" x14ac:dyDescent="0.15">
      <c r="B121" s="670"/>
      <c r="C121" s="140"/>
      <c r="D121" s="670"/>
      <c r="E121" s="643"/>
      <c r="F121" s="207"/>
      <c r="G121" s="505"/>
      <c r="H121" s="463" t="str">
        <f t="shared" si="124"/>
        <v/>
      </c>
      <c r="I121" s="671"/>
      <c r="J121" s="506"/>
      <c r="K121" s="507"/>
      <c r="L121" s="506"/>
      <c r="M121" s="507"/>
      <c r="N121" s="507"/>
      <c r="O121" s="507"/>
      <c r="P121" s="535"/>
      <c r="Q121" s="512"/>
      <c r="R121" s="513"/>
      <c r="S121" s="131"/>
      <c r="T121" s="599" t="str">
        <f t="shared" si="103"/>
        <v/>
      </c>
      <c r="W121" s="471">
        <f t="shared" ref="W121:X121" si="126">W120</f>
        <v>5</v>
      </c>
      <c r="X121" s="471" t="e">
        <f t="shared" si="126"/>
        <v>#REF!</v>
      </c>
      <c r="Y121" s="471" t="e">
        <f t="shared" si="105"/>
        <v>#REF!</v>
      </c>
      <c r="Z121" s="471"/>
      <c r="AA121" s="471"/>
    </row>
    <row r="122" spans="1:27" s="599" customFormat="1" ht="15.75" customHeight="1" x14ac:dyDescent="0.15">
      <c r="B122" s="670"/>
      <c r="C122" s="140"/>
      <c r="D122" s="670"/>
      <c r="E122" s="643"/>
      <c r="F122" s="207"/>
      <c r="G122" s="505"/>
      <c r="H122" s="463" t="str">
        <f t="shared" si="124"/>
        <v/>
      </c>
      <c r="I122" s="671"/>
      <c r="J122" s="506"/>
      <c r="K122" s="507"/>
      <c r="L122" s="506"/>
      <c r="M122" s="507"/>
      <c r="N122" s="507"/>
      <c r="O122" s="507"/>
      <c r="P122" s="535"/>
      <c r="Q122" s="512"/>
      <c r="R122" s="513"/>
      <c r="S122" s="131"/>
      <c r="T122" s="599" t="str">
        <f t="shared" si="103"/>
        <v/>
      </c>
      <c r="W122" s="471">
        <f t="shared" ref="W122:X122" si="127">W121</f>
        <v>5</v>
      </c>
      <c r="X122" s="471" t="e">
        <f t="shared" si="127"/>
        <v>#REF!</v>
      </c>
      <c r="Y122" s="471" t="e">
        <f t="shared" si="105"/>
        <v>#REF!</v>
      </c>
      <c r="Z122" s="471"/>
      <c r="AA122" s="471"/>
    </row>
    <row r="123" spans="1:27" s="599" customFormat="1" ht="15.75" customHeight="1" x14ac:dyDescent="0.15">
      <c r="B123" s="670"/>
      <c r="C123" s="140"/>
      <c r="D123" s="670"/>
      <c r="E123" s="643"/>
      <c r="F123" s="207"/>
      <c r="G123" s="505"/>
      <c r="H123" s="463" t="str">
        <f t="shared" si="124"/>
        <v/>
      </c>
      <c r="I123" s="671"/>
      <c r="J123" s="506"/>
      <c r="K123" s="507"/>
      <c r="L123" s="506"/>
      <c r="M123" s="507"/>
      <c r="N123" s="507"/>
      <c r="O123" s="507"/>
      <c r="P123" s="535"/>
      <c r="Q123" s="512"/>
      <c r="R123" s="513"/>
      <c r="S123" s="131"/>
      <c r="T123" s="599" t="str">
        <f t="shared" si="103"/>
        <v/>
      </c>
      <c r="W123" s="471">
        <f t="shared" ref="W123:X123" si="128">W122</f>
        <v>5</v>
      </c>
      <c r="X123" s="471" t="e">
        <f t="shared" si="128"/>
        <v>#REF!</v>
      </c>
      <c r="Y123" s="471" t="e">
        <f t="shared" si="105"/>
        <v>#REF!</v>
      </c>
      <c r="Z123" s="471"/>
      <c r="AA123" s="471"/>
    </row>
    <row r="124" spans="1:27" s="599" customFormat="1" ht="15.75" customHeight="1" x14ac:dyDescent="0.15">
      <c r="B124" s="670"/>
      <c r="C124" s="140"/>
      <c r="D124" s="670"/>
      <c r="E124" s="643"/>
      <c r="F124" s="207"/>
      <c r="G124" s="505"/>
      <c r="H124" s="463" t="str">
        <f t="shared" si="124"/>
        <v/>
      </c>
      <c r="I124" s="671"/>
      <c r="J124" s="506"/>
      <c r="K124" s="507"/>
      <c r="L124" s="506"/>
      <c r="M124" s="507"/>
      <c r="N124" s="507"/>
      <c r="O124" s="507"/>
      <c r="P124" s="535"/>
      <c r="Q124" s="512"/>
      <c r="R124" s="513"/>
      <c r="S124" s="131"/>
      <c r="T124" s="599" t="str">
        <f t="shared" si="103"/>
        <v/>
      </c>
      <c r="W124" s="471">
        <f t="shared" ref="W124:X124" si="129">W123</f>
        <v>5</v>
      </c>
      <c r="X124" s="471" t="e">
        <f t="shared" si="129"/>
        <v>#REF!</v>
      </c>
      <c r="Y124" s="471" t="e">
        <f t="shared" si="105"/>
        <v>#REF!</v>
      </c>
      <c r="Z124" s="471"/>
      <c r="AA124" s="471"/>
    </row>
    <row r="125" spans="1:27" s="599" customFormat="1" ht="15.75" customHeight="1" x14ac:dyDescent="0.15">
      <c r="B125" s="670"/>
      <c r="C125" s="140"/>
      <c r="D125" s="670"/>
      <c r="E125" s="643"/>
      <c r="F125" s="207"/>
      <c r="G125" s="505"/>
      <c r="H125" s="463" t="str">
        <f t="shared" si="124"/>
        <v/>
      </c>
      <c r="I125" s="671"/>
      <c r="J125" s="506"/>
      <c r="K125" s="507"/>
      <c r="L125" s="506"/>
      <c r="M125" s="507"/>
      <c r="N125" s="507"/>
      <c r="O125" s="507"/>
      <c r="P125" s="535"/>
      <c r="Q125" s="512"/>
      <c r="R125" s="513"/>
      <c r="S125" s="131"/>
      <c r="T125" s="599" t="str">
        <f t="shared" si="103"/>
        <v/>
      </c>
      <c r="W125" s="471">
        <f t="shared" ref="W125:X125" si="130">W124</f>
        <v>5</v>
      </c>
      <c r="X125" s="471" t="e">
        <f t="shared" si="130"/>
        <v>#REF!</v>
      </c>
      <c r="Y125" s="471" t="e">
        <f t="shared" si="105"/>
        <v>#REF!</v>
      </c>
      <c r="Z125" s="471"/>
      <c r="AA125" s="471"/>
    </row>
    <row r="126" spans="1:27" s="599" customFormat="1" ht="15.75" customHeight="1" x14ac:dyDescent="0.15">
      <c r="B126" s="670"/>
      <c r="C126" s="140"/>
      <c r="D126" s="670"/>
      <c r="E126" s="643"/>
      <c r="F126" s="207"/>
      <c r="G126" s="505"/>
      <c r="H126" s="463" t="str">
        <f t="shared" si="124"/>
        <v/>
      </c>
      <c r="I126" s="671"/>
      <c r="J126" s="506"/>
      <c r="K126" s="507"/>
      <c r="L126" s="506"/>
      <c r="M126" s="507"/>
      <c r="N126" s="507"/>
      <c r="O126" s="507"/>
      <c r="P126" s="535"/>
      <c r="Q126" s="512"/>
      <c r="R126" s="513"/>
      <c r="S126" s="131"/>
      <c r="T126" s="599" t="str">
        <f t="shared" si="103"/>
        <v/>
      </c>
      <c r="W126" s="471">
        <f t="shared" ref="W126:X126" si="131">W125</f>
        <v>5</v>
      </c>
      <c r="X126" s="471" t="e">
        <f t="shared" si="131"/>
        <v>#REF!</v>
      </c>
      <c r="Y126" s="471" t="e">
        <f t="shared" si="105"/>
        <v>#REF!</v>
      </c>
      <c r="Z126" s="471"/>
      <c r="AA126" s="471"/>
    </row>
    <row r="127" spans="1:27" s="599" customFormat="1" ht="15.75" customHeight="1" x14ac:dyDescent="0.15">
      <c r="B127" s="670"/>
      <c r="C127" s="140"/>
      <c r="D127" s="670"/>
      <c r="E127" s="643"/>
      <c r="F127" s="207"/>
      <c r="G127" s="505"/>
      <c r="H127" s="463" t="str">
        <f t="shared" si="124"/>
        <v/>
      </c>
      <c r="I127" s="671"/>
      <c r="J127" s="506"/>
      <c r="K127" s="507"/>
      <c r="L127" s="506"/>
      <c r="M127" s="507"/>
      <c r="N127" s="507"/>
      <c r="O127" s="507"/>
      <c r="P127" s="535"/>
      <c r="Q127" s="512"/>
      <c r="R127" s="513"/>
      <c r="S127" s="131"/>
      <c r="T127" s="599" t="str">
        <f t="shared" si="103"/>
        <v/>
      </c>
      <c r="W127" s="471">
        <f t="shared" ref="W127:X127" si="132">W126</f>
        <v>5</v>
      </c>
      <c r="X127" s="471" t="e">
        <f t="shared" si="132"/>
        <v>#REF!</v>
      </c>
      <c r="Y127" s="471" t="e">
        <f t="shared" si="105"/>
        <v>#REF!</v>
      </c>
      <c r="Z127" s="471"/>
      <c r="AA127" s="471"/>
    </row>
    <row r="128" spans="1:27" s="599" customFormat="1" ht="15.75" customHeight="1" x14ac:dyDescent="0.15">
      <c r="A128" s="473"/>
      <c r="B128" s="514" t="s">
        <v>751</v>
      </c>
      <c r="C128" s="515"/>
      <c r="D128" s="516"/>
      <c r="E128" s="517"/>
      <c r="F128" s="518"/>
      <c r="G128" s="519"/>
      <c r="H128" s="463" t="str">
        <f t="shared" si="124"/>
        <v/>
      </c>
      <c r="I128" s="520">
        <f>목록!$B$10</f>
        <v>5</v>
      </c>
      <c r="J128" s="521"/>
      <c r="K128" s="522">
        <f>SUM(K114:K127)</f>
        <v>587</v>
      </c>
      <c r="L128" s="521"/>
      <c r="M128" s="522">
        <f>SUM(M114:M127)</f>
        <v>11748</v>
      </c>
      <c r="N128" s="521"/>
      <c r="O128" s="522">
        <f>SUM(O114:O127)</f>
        <v>0</v>
      </c>
      <c r="P128" s="536"/>
      <c r="Q128" s="512"/>
      <c r="R128" s="513"/>
      <c r="S128" s="542"/>
      <c r="T128" s="599" t="str">
        <f t="shared" si="103"/>
        <v/>
      </c>
      <c r="W128" s="471">
        <f t="shared" ref="W128:X128" si="133">W127</f>
        <v>5</v>
      </c>
      <c r="X128" s="471" t="e">
        <f t="shared" si="133"/>
        <v>#REF!</v>
      </c>
      <c r="Y128" s="471" t="e">
        <f t="shared" si="105"/>
        <v>#REF!</v>
      </c>
      <c r="Z128" s="471"/>
      <c r="AA128" s="471"/>
    </row>
    <row r="129" spans="1:27" s="599" customFormat="1" ht="15.75" customHeight="1" x14ac:dyDescent="0.15">
      <c r="B129" s="453"/>
      <c r="C129" s="825" t="s">
        <v>1465</v>
      </c>
      <c r="D129" s="670"/>
      <c r="E129" s="643"/>
      <c r="F129" s="207"/>
      <c r="G129" s="505"/>
      <c r="H129" s="463" t="str">
        <f t="shared" si="124"/>
        <v>※ 건축표준품셈 : 18-1 해체 철거공사 2. 건축물 구조체별 철거 / 벽체 / 목조,간막이 준용</v>
      </c>
      <c r="I129" s="671"/>
      <c r="J129" s="506"/>
      <c r="K129" s="507"/>
      <c r="L129" s="506"/>
      <c r="M129" s="507"/>
      <c r="N129" s="507"/>
      <c r="O129" s="507"/>
      <c r="P129" s="535"/>
      <c r="Q129" s="512"/>
      <c r="R129" s="513"/>
      <c r="S129" s="131"/>
      <c r="T129" s="599" t="str">
        <f t="shared" si="103"/>
        <v/>
      </c>
      <c r="W129" s="615">
        <f t="shared" ref="W129:X129" si="134">W128</f>
        <v>5</v>
      </c>
      <c r="X129" s="471" t="e">
        <f t="shared" si="134"/>
        <v>#REF!</v>
      </c>
      <c r="Y129" s="471" t="e">
        <f t="shared" si="105"/>
        <v>#REF!</v>
      </c>
      <c r="Z129" s="471"/>
      <c r="AA129" s="471"/>
    </row>
    <row r="130" spans="1:27" s="473" customFormat="1" ht="15.75" customHeight="1" x14ac:dyDescent="0.15">
      <c r="A130" s="599"/>
      <c r="B130" s="453"/>
      <c r="C130" s="825" t="s">
        <v>1466</v>
      </c>
      <c r="D130" s="670"/>
      <c r="E130" s="643"/>
      <c r="F130" s="207"/>
      <c r="G130" s="505"/>
      <c r="H130" s="463" t="str">
        <f t="shared" si="124"/>
        <v>※ 해체재를 재사용하지 아니하여 기준품의 60%를 적용함</v>
      </c>
      <c r="I130" s="671"/>
      <c r="J130" s="506"/>
      <c r="K130" s="507"/>
      <c r="L130" s="506"/>
      <c r="M130" s="507"/>
      <c r="N130" s="507"/>
      <c r="O130" s="507"/>
      <c r="P130" s="535"/>
      <c r="Q130" s="512"/>
      <c r="R130" s="513"/>
      <c r="S130" s="131"/>
      <c r="T130" s="599" t="str">
        <f t="shared" si="103"/>
        <v/>
      </c>
      <c r="V130" s="599"/>
      <c r="W130" s="471">
        <f t="shared" ref="W130:X130" si="135">W129</f>
        <v>5</v>
      </c>
      <c r="X130" s="471" t="e">
        <f t="shared" si="135"/>
        <v>#REF!</v>
      </c>
      <c r="Y130" s="471" t="e">
        <f t="shared" si="105"/>
        <v>#REF!</v>
      </c>
      <c r="Z130" s="471"/>
      <c r="AA130" s="471"/>
    </row>
    <row r="131" spans="1:27" s="599" customFormat="1" ht="15.75" customHeight="1" x14ac:dyDescent="0.15">
      <c r="A131" s="473"/>
      <c r="B131" s="514"/>
      <c r="C131" s="825" t="s">
        <v>1467</v>
      </c>
      <c r="D131" s="516"/>
      <c r="E131" s="517"/>
      <c r="F131" s="518"/>
      <c r="G131" s="519"/>
      <c r="H131" s="463" t="str">
        <f t="shared" si="124"/>
        <v>※ 실내건축표준품셈 : 철거-16 경량 스터드 철거</v>
      </c>
      <c r="I131" s="520"/>
      <c r="J131" s="521"/>
      <c r="K131" s="522"/>
      <c r="L131" s="521"/>
      <c r="M131" s="522"/>
      <c r="N131" s="521"/>
      <c r="O131" s="522"/>
      <c r="P131" s="544"/>
      <c r="Q131" s="512"/>
      <c r="R131" s="513"/>
      <c r="S131" s="524"/>
      <c r="T131" s="599" t="str">
        <f t="shared" si="103"/>
        <v/>
      </c>
      <c r="W131" s="471">
        <f t="shared" ref="W131:X131" si="136">W130</f>
        <v>5</v>
      </c>
      <c r="X131" s="471" t="e">
        <f t="shared" si="136"/>
        <v>#REF!</v>
      </c>
      <c r="Y131" s="471" t="e">
        <f t="shared" si="105"/>
        <v>#REF!</v>
      </c>
      <c r="Z131" s="471"/>
      <c r="AA131" s="471"/>
    </row>
    <row r="132" spans="1:27" s="599" customFormat="1" ht="15.75" customHeight="1" x14ac:dyDescent="0.15">
      <c r="A132" s="473"/>
      <c r="B132" s="473"/>
      <c r="C132" s="458"/>
      <c r="D132" s="459"/>
      <c r="E132" s="460"/>
      <c r="F132" s="461"/>
      <c r="G132" s="462"/>
      <c r="H132" s="463" t="str">
        <f t="shared" si="124"/>
        <v/>
      </c>
      <c r="I132" s="464"/>
      <c r="J132" s="465"/>
      <c r="K132" s="465"/>
      <c r="L132" s="465"/>
      <c r="M132" s="465"/>
      <c r="N132" s="465"/>
      <c r="O132" s="466"/>
      <c r="P132" s="467"/>
      <c r="Q132" s="468"/>
      <c r="R132" s="526"/>
      <c r="S132" s="467"/>
      <c r="T132" s="599" t="str">
        <f t="shared" ref="T132:T157" si="137">CONCATENATE(Q132,R132)</f>
        <v/>
      </c>
      <c r="W132" s="533">
        <f t="shared" ref="W132" si="138">I154</f>
        <v>6</v>
      </c>
      <c r="X132" s="533" t="e">
        <f>#REF!+1</f>
        <v>#REF!</v>
      </c>
      <c r="Y132" s="533" t="e">
        <f t="shared" ref="Y132:Y157" si="139">X132-W132</f>
        <v>#REF!</v>
      </c>
      <c r="Z132" s="533"/>
      <c r="AA132" s="533"/>
    </row>
    <row r="133" spans="1:27" s="473" customFormat="1" ht="15.75" customHeight="1" x14ac:dyDescent="0.15">
      <c r="C133" s="746" t="str">
        <f>"   항목번호 : "&amp;목록!L$11</f>
        <v xml:space="preserve">   항목번호 : 제6호표</v>
      </c>
      <c r="D133" s="475">
        <f>목록!B$9</f>
        <v>4</v>
      </c>
      <c r="E133" s="476"/>
      <c r="G133" s="478"/>
      <c r="H133" s="463" t="str">
        <f t="shared" si="124"/>
        <v xml:space="preserve">   항목번호 : 제6호표</v>
      </c>
      <c r="I133" s="479"/>
      <c r="J133" s="488"/>
      <c r="K133" s="481"/>
      <c r="L133" s="482"/>
      <c r="M133" s="482"/>
      <c r="N133" s="482"/>
      <c r="O133" s="466"/>
      <c r="P133" s="483"/>
      <c r="Q133" s="654"/>
      <c r="R133" s="485"/>
      <c r="S133" s="483"/>
      <c r="T133" s="599" t="str">
        <f t="shared" si="137"/>
        <v/>
      </c>
      <c r="V133" s="599"/>
      <c r="W133" s="471">
        <f t="shared" ref="W133:X133" si="140">W132</f>
        <v>6</v>
      </c>
      <c r="X133" s="471" t="e">
        <f t="shared" si="140"/>
        <v>#REF!</v>
      </c>
      <c r="Y133" s="471" t="e">
        <f t="shared" si="139"/>
        <v>#REF!</v>
      </c>
      <c r="Z133" s="471"/>
      <c r="AA133" s="471"/>
    </row>
    <row r="134" spans="1:27" s="473" customFormat="1" ht="15.75" customHeight="1" x14ac:dyDescent="0.15">
      <c r="C134" s="746" t="str">
        <f>"   공      종 : "&amp;목록!D$11</f>
        <v xml:space="preserve">   공      종 : 벽체 철거</v>
      </c>
      <c r="D134" s="654"/>
      <c r="E134" s="476"/>
      <c r="G134" s="478"/>
      <c r="H134" s="463" t="str">
        <f t="shared" si="124"/>
        <v xml:space="preserve">   공      종 : 벽체 철거</v>
      </c>
      <c r="I134" s="479"/>
      <c r="J134" s="488"/>
      <c r="K134" s="481"/>
      <c r="L134" s="482"/>
      <c r="M134" s="482"/>
      <c r="N134" s="482"/>
      <c r="O134" s="466"/>
      <c r="P134" s="483"/>
      <c r="Q134" s="654"/>
      <c r="R134" s="485"/>
      <c r="S134" s="483"/>
      <c r="T134" s="599" t="str">
        <f t="shared" si="137"/>
        <v/>
      </c>
      <c r="V134" s="599"/>
      <c r="W134" s="471">
        <f t="shared" ref="W134:X134" si="141">W133</f>
        <v>6</v>
      </c>
      <c r="X134" s="471" t="e">
        <f t="shared" si="141"/>
        <v>#REF!</v>
      </c>
      <c r="Y134" s="471" t="e">
        <f t="shared" si="139"/>
        <v>#REF!</v>
      </c>
      <c r="Z134" s="471"/>
      <c r="AA134" s="471"/>
    </row>
    <row r="135" spans="1:27" s="473" customFormat="1" ht="15.75" customHeight="1" x14ac:dyDescent="0.15">
      <c r="C135" s="746" t="str">
        <f xml:space="preserve"> "   규      격 : "&amp;목록!F$11</f>
        <v xml:space="preserve">   규      격 : 판재류 철거</v>
      </c>
      <c r="D135" s="654"/>
      <c r="E135" s="476"/>
      <c r="G135" s="478"/>
      <c r="H135" s="463" t="str">
        <f t="shared" si="124"/>
        <v xml:space="preserve">   규      격 : 판재류 철거</v>
      </c>
      <c r="I135" s="479"/>
      <c r="J135" s="488" t="s">
        <v>348</v>
      </c>
      <c r="K135" s="481"/>
      <c r="L135" s="482" t="s">
        <v>349</v>
      </c>
      <c r="M135" s="482"/>
      <c r="N135" s="482" t="s">
        <v>240</v>
      </c>
      <c r="O135" s="466"/>
      <c r="P135" s="483"/>
      <c r="Q135" s="654" t="s">
        <v>752</v>
      </c>
      <c r="R135" s="654"/>
      <c r="S135" s="483"/>
      <c r="T135" s="599" t="str">
        <f t="shared" si="137"/>
        <v>합계</v>
      </c>
      <c r="V135" s="599"/>
      <c r="W135" s="471">
        <f t="shared" ref="W135:X135" si="142">W134</f>
        <v>6</v>
      </c>
      <c r="X135" s="471" t="e">
        <f t="shared" si="142"/>
        <v>#REF!</v>
      </c>
      <c r="Y135" s="471" t="e">
        <f t="shared" si="139"/>
        <v>#REF!</v>
      </c>
      <c r="Z135" s="471"/>
      <c r="AA135" s="471"/>
    </row>
    <row r="136" spans="1:27" s="473" customFormat="1" ht="15.75" customHeight="1" x14ac:dyDescent="0.15">
      <c r="C136" s="746" t="str">
        <f>"   단      위 : "&amp;목록!G$11</f>
        <v xml:space="preserve">   단      위 : ㎡</v>
      </c>
      <c r="D136" s="654"/>
      <c r="E136" s="476"/>
      <c r="G136" s="478"/>
      <c r="H136" s="463" t="str">
        <f t="shared" si="124"/>
        <v xml:space="preserve">   단      위 : ㎡</v>
      </c>
      <c r="I136" s="479"/>
      <c r="J136" s="489">
        <f>K154</f>
        <v>226</v>
      </c>
      <c r="K136" s="481"/>
      <c r="L136" s="487">
        <f>M154</f>
        <v>4538</v>
      </c>
      <c r="M136" s="482"/>
      <c r="N136" s="482">
        <f>O154</f>
        <v>0</v>
      </c>
      <c r="O136" s="466"/>
      <c r="P136" s="483"/>
      <c r="Q136" s="488">
        <f>J136+L136+N136</f>
        <v>4764</v>
      </c>
      <c r="R136" s="489"/>
      <c r="S136" s="483"/>
      <c r="T136" s="599" t="str">
        <f t="shared" si="137"/>
        <v>4764</v>
      </c>
      <c r="V136" s="599"/>
      <c r="W136" s="471">
        <f t="shared" ref="W136:X136" si="143">W135</f>
        <v>6</v>
      </c>
      <c r="X136" s="471" t="e">
        <f t="shared" si="143"/>
        <v>#REF!</v>
      </c>
      <c r="Y136" s="471" t="e">
        <f t="shared" si="139"/>
        <v>#REF!</v>
      </c>
      <c r="Z136" s="471"/>
      <c r="AA136" s="471"/>
    </row>
    <row r="137" spans="1:27" s="473" customFormat="1" ht="15.75" customHeight="1" x14ac:dyDescent="0.15">
      <c r="C137" s="746"/>
      <c r="D137" s="654"/>
      <c r="E137" s="476"/>
      <c r="G137" s="490"/>
      <c r="H137" s="463" t="str">
        <f t="shared" si="124"/>
        <v/>
      </c>
      <c r="I137" s="491"/>
      <c r="J137" s="482"/>
      <c r="K137" s="465"/>
      <c r="L137" s="482"/>
      <c r="M137" s="482"/>
      <c r="N137" s="482"/>
      <c r="O137" s="466"/>
      <c r="P137" s="492"/>
      <c r="Q137" s="493"/>
      <c r="R137" s="485"/>
      <c r="S137" s="492"/>
      <c r="T137" s="599" t="str">
        <f t="shared" si="137"/>
        <v/>
      </c>
      <c r="V137" s="599"/>
      <c r="W137" s="471">
        <f t="shared" ref="W137:X137" si="144">W136</f>
        <v>6</v>
      </c>
      <c r="X137" s="471" t="e">
        <f t="shared" si="144"/>
        <v>#REF!</v>
      </c>
      <c r="Y137" s="471" t="e">
        <f t="shared" si="139"/>
        <v>#REF!</v>
      </c>
      <c r="Z137" s="471"/>
      <c r="AA137" s="471"/>
    </row>
    <row r="138" spans="1:27" s="473" customFormat="1" ht="15.75" customHeight="1" x14ac:dyDescent="0.15">
      <c r="B138" s="899" t="s">
        <v>375</v>
      </c>
      <c r="C138" s="900"/>
      <c r="D138" s="907" t="s">
        <v>356</v>
      </c>
      <c r="E138" s="908"/>
      <c r="F138" s="903" t="s">
        <v>753</v>
      </c>
      <c r="G138" s="913" t="s">
        <v>754</v>
      </c>
      <c r="H138" s="463" t="str">
        <f t="shared" si="124"/>
        <v>단위</v>
      </c>
      <c r="I138" s="623"/>
      <c r="J138" s="495" t="s">
        <v>348</v>
      </c>
      <c r="K138" s="496"/>
      <c r="L138" s="495" t="s">
        <v>349</v>
      </c>
      <c r="M138" s="496"/>
      <c r="N138" s="497" t="s">
        <v>240</v>
      </c>
      <c r="O138" s="497"/>
      <c r="P138" s="498"/>
      <c r="Q138" s="833" t="s">
        <v>355</v>
      </c>
      <c r="R138" s="833"/>
      <c r="S138" s="499"/>
      <c r="T138" s="599" t="str">
        <f t="shared" si="137"/>
        <v>비  고</v>
      </c>
      <c r="V138" s="599"/>
      <c r="W138" s="471">
        <f t="shared" ref="W138:X138" si="145">W137</f>
        <v>6</v>
      </c>
      <c r="X138" s="471" t="e">
        <f t="shared" si="145"/>
        <v>#REF!</v>
      </c>
      <c r="Y138" s="471" t="e">
        <f t="shared" si="139"/>
        <v>#REF!</v>
      </c>
      <c r="Z138" s="471"/>
      <c r="AA138" s="471"/>
    </row>
    <row r="139" spans="1:27" s="473" customFormat="1" ht="15.75" customHeight="1" x14ac:dyDescent="0.15">
      <c r="B139" s="901"/>
      <c r="C139" s="902"/>
      <c r="D139" s="909"/>
      <c r="E139" s="910"/>
      <c r="F139" s="904"/>
      <c r="G139" s="914"/>
      <c r="H139" s="463" t="str">
        <f t="shared" si="124"/>
        <v/>
      </c>
      <c r="I139" s="624"/>
      <c r="J139" s="501" t="s">
        <v>353</v>
      </c>
      <c r="K139" s="501" t="s">
        <v>354</v>
      </c>
      <c r="L139" s="501" t="s">
        <v>353</v>
      </c>
      <c r="M139" s="749" t="s">
        <v>354</v>
      </c>
      <c r="N139" s="501" t="s">
        <v>353</v>
      </c>
      <c r="O139" s="501" t="s">
        <v>354</v>
      </c>
      <c r="P139" s="837"/>
      <c r="Q139" s="834"/>
      <c r="R139" s="834"/>
      <c r="S139" s="504"/>
      <c r="T139" s="599" t="str">
        <f t="shared" si="137"/>
        <v/>
      </c>
      <c r="V139" s="599"/>
      <c r="W139" s="471">
        <f t="shared" ref="W139:X139" si="146">W138</f>
        <v>6</v>
      </c>
      <c r="X139" s="471" t="e">
        <f t="shared" si="146"/>
        <v>#REF!</v>
      </c>
      <c r="Y139" s="471" t="e">
        <f t="shared" si="139"/>
        <v>#REF!</v>
      </c>
      <c r="Z139" s="471"/>
      <c r="AA139" s="471"/>
    </row>
    <row r="140" spans="1:27" s="473" customFormat="1" ht="15.75" customHeight="1" x14ac:dyDescent="0.15">
      <c r="A140" s="599"/>
      <c r="B140" s="670"/>
      <c r="C140" s="822" t="s">
        <v>1458</v>
      </c>
      <c r="D140" s="736"/>
      <c r="E140" s="823"/>
      <c r="F140" s="737" t="s">
        <v>1459</v>
      </c>
      <c r="G140" s="824">
        <f>0.01*60%</f>
        <v>6.0000000000000001E-3</v>
      </c>
      <c r="H140" s="463" t="str">
        <f t="shared" si="124"/>
        <v>건축목공인</v>
      </c>
      <c r="I140" s="671" t="str">
        <f>CONCATENATE(C140,E140,F140)</f>
        <v>건축목공인</v>
      </c>
      <c r="J140" s="506" t="str">
        <f>IF(OR($F140="인",$F140=""),"",VLOOKUP($H140,단가!$A:$S,19,FALSE))</f>
        <v/>
      </c>
      <c r="K140" s="507" t="str">
        <f t="shared" ref="K140:K143" si="147">IF(J140="","",TRUNC($G140*J140,0))</f>
        <v/>
      </c>
      <c r="L140" s="506">
        <f>IF($F140="인",VLOOKUP($C:$C,노임!$C:$G,4,FALSE),"")</f>
        <v>169062</v>
      </c>
      <c r="M140" s="507">
        <f t="shared" ref="M140:M143" si="148">IF(L140="","",TRUNC($G140*L140,0))</f>
        <v>1014</v>
      </c>
      <c r="N140" s="507"/>
      <c r="O140" s="507" t="str">
        <f t="shared" ref="O140:O143" si="149">IF(N140="","",TRUNC($G140*N140,0))</f>
        <v/>
      </c>
      <c r="P140" s="508"/>
      <c r="Q140" s="509" t="str">
        <f>IF(F140="인","노임"&amp;VLOOKUP($C:$C,노임!C:G,5,FALSE)&amp;"번","단가"&amp;VLOOKUP($H:$H,단가!$A:$B,2,FALSE)&amp;"번")</f>
        <v>노임1023번</v>
      </c>
      <c r="R140" s="510"/>
      <c r="S140" s="131"/>
      <c r="T140" s="599" t="str">
        <f t="shared" si="137"/>
        <v>노임1023번</v>
      </c>
      <c r="V140" s="599"/>
      <c r="W140" s="471">
        <f t="shared" ref="W140:X140" si="150">W139</f>
        <v>6</v>
      </c>
      <c r="X140" s="471" t="e">
        <f t="shared" si="150"/>
        <v>#REF!</v>
      </c>
      <c r="Y140" s="471" t="e">
        <f t="shared" si="139"/>
        <v>#REF!</v>
      </c>
      <c r="Z140" s="471"/>
      <c r="AA140" s="471"/>
    </row>
    <row r="141" spans="1:27" s="473" customFormat="1" ht="15.75" customHeight="1" x14ac:dyDescent="0.15">
      <c r="A141" s="599"/>
      <c r="B141" s="670"/>
      <c r="C141" s="822" t="s">
        <v>1460</v>
      </c>
      <c r="D141" s="736"/>
      <c r="E141" s="823"/>
      <c r="F141" s="737" t="s">
        <v>1459</v>
      </c>
      <c r="G141" s="824">
        <f>0.02*100%</f>
        <v>0.02</v>
      </c>
      <c r="H141" s="463" t="str">
        <f t="shared" si="124"/>
        <v>보통인부인</v>
      </c>
      <c r="I141" s="671" t="str">
        <f>CONCATENATE(C141,E141,F141)</f>
        <v>보통인부인</v>
      </c>
      <c r="J141" s="506" t="str">
        <f>IF(OR($F141="인",$F141=""),"",VLOOKUP($H141,단가!$A:$S,19,FALSE))</f>
        <v/>
      </c>
      <c r="K141" s="507" t="str">
        <f t="shared" si="147"/>
        <v/>
      </c>
      <c r="L141" s="506">
        <f>IF($F141="인",VLOOKUP($C:$C,노임!$C:$G,4,FALSE),"")</f>
        <v>106846</v>
      </c>
      <c r="M141" s="507">
        <f t="shared" si="148"/>
        <v>2136</v>
      </c>
      <c r="N141" s="507"/>
      <c r="O141" s="507" t="str">
        <f t="shared" si="149"/>
        <v/>
      </c>
      <c r="P141" s="508"/>
      <c r="Q141" s="509" t="str">
        <f>IF(F141="인","노임"&amp;VLOOKUP($C:$C,노임!C:G,5,FALSE)&amp;"번","단가"&amp;VLOOKUP($H:$H,단가!$A:$B,2,FALSE)&amp;"번")</f>
        <v>노임1002번</v>
      </c>
      <c r="R141" s="510"/>
      <c r="S141" s="131"/>
      <c r="T141" s="599" t="str">
        <f t="shared" si="137"/>
        <v>노임1002번</v>
      </c>
      <c r="V141" s="599"/>
      <c r="W141" s="471">
        <f t="shared" ref="W141:X141" si="151">W140</f>
        <v>6</v>
      </c>
      <c r="X141" s="471" t="e">
        <f t="shared" si="151"/>
        <v>#REF!</v>
      </c>
      <c r="Y141" s="471" t="e">
        <f t="shared" si="139"/>
        <v>#REF!</v>
      </c>
      <c r="Z141" s="471"/>
      <c r="AA141" s="471"/>
    </row>
    <row r="142" spans="1:27" s="599" customFormat="1" ht="15.75" customHeight="1" x14ac:dyDescent="0.15">
      <c r="B142" s="670"/>
      <c r="C142" s="855" t="s">
        <v>1460</v>
      </c>
      <c r="D142" s="856"/>
      <c r="E142" s="855" t="s">
        <v>1461</v>
      </c>
      <c r="F142" s="857" t="s">
        <v>1459</v>
      </c>
      <c r="G142" s="824">
        <v>1.2999999999999999E-2</v>
      </c>
      <c r="H142" s="463" t="str">
        <f t="shared" si="124"/>
        <v>보통인부폐자재 반출 및 상차인</v>
      </c>
      <c r="I142" s="671" t="str">
        <f>CONCATENATE(C142,E142,F142)</f>
        <v>보통인부폐자재 반출 및 상차인</v>
      </c>
      <c r="J142" s="506" t="str">
        <f>IF(OR($F142="인",$F142=""),"",VLOOKUP($H142,단가!$A:$S,19,FALSE))</f>
        <v/>
      </c>
      <c r="K142" s="507" t="str">
        <f t="shared" si="147"/>
        <v/>
      </c>
      <c r="L142" s="506">
        <f>IF($F142="인",VLOOKUP($C:$C,노임!$C:$G,4,FALSE),"")</f>
        <v>106846</v>
      </c>
      <c r="M142" s="507">
        <f t="shared" si="148"/>
        <v>1388</v>
      </c>
      <c r="N142" s="507"/>
      <c r="O142" s="507" t="str">
        <f t="shared" si="149"/>
        <v/>
      </c>
      <c r="P142" s="508"/>
      <c r="Q142" s="509" t="str">
        <f>IF(F142="인","노임"&amp;VLOOKUP($C:$C,노임!C:G,5,FALSE)&amp;"번","단가"&amp;VLOOKUP($H:$H,단가!$A:$B,2,FALSE)&amp;"번")</f>
        <v>노임1002번</v>
      </c>
      <c r="R142" s="510"/>
      <c r="S142" s="131"/>
      <c r="T142" s="599" t="str">
        <f t="shared" si="137"/>
        <v>노임1002번</v>
      </c>
      <c r="W142" s="471">
        <f t="shared" ref="W142:X142" si="152">W141</f>
        <v>6</v>
      </c>
      <c r="X142" s="471" t="e">
        <f t="shared" si="152"/>
        <v>#REF!</v>
      </c>
      <c r="Y142" s="471" t="e">
        <f t="shared" si="139"/>
        <v>#REF!</v>
      </c>
      <c r="Z142" s="471"/>
      <c r="AA142" s="471"/>
    </row>
    <row r="143" spans="1:27" s="599" customFormat="1" ht="15.75" customHeight="1" x14ac:dyDescent="0.15">
      <c r="B143" s="670"/>
      <c r="C143" s="822" t="s">
        <v>1462</v>
      </c>
      <c r="D143" s="736"/>
      <c r="E143" s="823" t="s">
        <v>1463</v>
      </c>
      <c r="F143" s="737" t="s">
        <v>1464</v>
      </c>
      <c r="G143" s="824">
        <v>1</v>
      </c>
      <c r="H143" s="463" t="str">
        <f t="shared" si="124"/>
        <v>공구손료노무비의 5%식</v>
      </c>
      <c r="I143" s="671"/>
      <c r="J143" s="858">
        <f>TRUNC(SUM(M154)*5%,0)</f>
        <v>226</v>
      </c>
      <c r="K143" s="507">
        <f t="shared" si="147"/>
        <v>226</v>
      </c>
      <c r="L143" s="506" t="str">
        <f>IF($F143="인",VLOOKUP($C:$C,노임!$C:$G,4,FALSE),"")</f>
        <v/>
      </c>
      <c r="M143" s="507" t="str">
        <f t="shared" si="148"/>
        <v/>
      </c>
      <c r="N143" s="507"/>
      <c r="O143" s="507" t="str">
        <f t="shared" si="149"/>
        <v/>
      </c>
      <c r="P143" s="508"/>
      <c r="Q143" s="509"/>
      <c r="R143" s="513"/>
      <c r="S143" s="131"/>
      <c r="T143" s="599" t="str">
        <f t="shared" si="137"/>
        <v/>
      </c>
      <c r="W143" s="471">
        <f t="shared" ref="W143:X143" si="153">W142</f>
        <v>6</v>
      </c>
      <c r="X143" s="471" t="e">
        <f t="shared" si="153"/>
        <v>#REF!</v>
      </c>
      <c r="Y143" s="471" t="e">
        <f t="shared" si="139"/>
        <v>#REF!</v>
      </c>
      <c r="Z143" s="471"/>
      <c r="AA143" s="471"/>
    </row>
    <row r="144" spans="1:27" s="599" customFormat="1" ht="15.75" customHeight="1" x14ac:dyDescent="0.15">
      <c r="B144" s="670"/>
      <c r="C144" s="822"/>
      <c r="D144" s="736"/>
      <c r="E144" s="823"/>
      <c r="F144" s="737"/>
      <c r="G144" s="824"/>
      <c r="H144" s="463" t="str">
        <f t="shared" si="124"/>
        <v/>
      </c>
      <c r="I144" s="671"/>
      <c r="J144" s="506"/>
      <c r="K144" s="507"/>
      <c r="L144" s="506"/>
      <c r="M144" s="507"/>
      <c r="N144" s="507"/>
      <c r="O144" s="507"/>
      <c r="P144" s="535"/>
      <c r="Q144" s="512"/>
      <c r="R144" s="513"/>
      <c r="S144" s="131"/>
      <c r="T144" s="599" t="str">
        <f t="shared" si="137"/>
        <v/>
      </c>
      <c r="W144" s="471">
        <f t="shared" ref="W144:X144" si="154">W143</f>
        <v>6</v>
      </c>
      <c r="X144" s="471" t="e">
        <f t="shared" si="154"/>
        <v>#REF!</v>
      </c>
      <c r="Y144" s="471" t="e">
        <f t="shared" si="139"/>
        <v>#REF!</v>
      </c>
      <c r="Z144" s="471"/>
      <c r="AA144" s="471"/>
    </row>
    <row r="145" spans="1:44" s="599" customFormat="1" ht="15.75" customHeight="1" x14ac:dyDescent="0.15">
      <c r="B145" s="670"/>
      <c r="C145" s="822"/>
      <c r="D145" s="736"/>
      <c r="E145" s="823"/>
      <c r="F145" s="737"/>
      <c r="G145" s="824"/>
      <c r="H145" s="463" t="str">
        <f t="shared" si="124"/>
        <v/>
      </c>
      <c r="I145" s="671"/>
      <c r="J145" s="506"/>
      <c r="K145" s="507"/>
      <c r="L145" s="506"/>
      <c r="M145" s="507"/>
      <c r="N145" s="507"/>
      <c r="O145" s="507"/>
      <c r="P145" s="535"/>
      <c r="Q145" s="512"/>
      <c r="R145" s="513"/>
      <c r="S145" s="131"/>
      <c r="T145" s="599" t="str">
        <f t="shared" si="137"/>
        <v/>
      </c>
      <c r="W145" s="471">
        <f t="shared" ref="W145:X145" si="155">W144</f>
        <v>6</v>
      </c>
      <c r="X145" s="471" t="e">
        <f t="shared" si="155"/>
        <v>#REF!</v>
      </c>
      <c r="Y145" s="471" t="e">
        <f t="shared" si="139"/>
        <v>#REF!</v>
      </c>
      <c r="Z145" s="471"/>
      <c r="AA145" s="471"/>
    </row>
    <row r="146" spans="1:44" s="599" customFormat="1" ht="15.75" customHeight="1" x14ac:dyDescent="0.15">
      <c r="B146" s="670"/>
      <c r="C146" s="822"/>
      <c r="D146" s="736"/>
      <c r="E146" s="823"/>
      <c r="F146" s="737"/>
      <c r="G146" s="824"/>
      <c r="H146" s="463" t="str">
        <f t="shared" ref="H146:H157" si="156">CONCATENATE(C146,E146,F146)</f>
        <v/>
      </c>
      <c r="I146" s="671"/>
      <c r="J146" s="506"/>
      <c r="K146" s="507"/>
      <c r="L146" s="506"/>
      <c r="M146" s="507"/>
      <c r="N146" s="507"/>
      <c r="O146" s="507"/>
      <c r="P146" s="535"/>
      <c r="Q146" s="512"/>
      <c r="R146" s="513"/>
      <c r="S146" s="131"/>
      <c r="T146" s="599" t="str">
        <f t="shared" si="137"/>
        <v/>
      </c>
      <c r="W146" s="471">
        <f t="shared" ref="W146:X146" si="157">W145</f>
        <v>6</v>
      </c>
      <c r="X146" s="471" t="e">
        <f t="shared" si="157"/>
        <v>#REF!</v>
      </c>
      <c r="Y146" s="471" t="e">
        <f t="shared" si="139"/>
        <v>#REF!</v>
      </c>
      <c r="Z146" s="471"/>
      <c r="AA146" s="471"/>
    </row>
    <row r="147" spans="1:44" s="599" customFormat="1" ht="15.75" customHeight="1" x14ac:dyDescent="0.15">
      <c r="B147" s="670"/>
      <c r="C147" s="140"/>
      <c r="D147" s="670"/>
      <c r="E147" s="643"/>
      <c r="F147" s="207"/>
      <c r="G147" s="505"/>
      <c r="H147" s="463" t="str">
        <f t="shared" si="156"/>
        <v/>
      </c>
      <c r="I147" s="671"/>
      <c r="J147" s="506"/>
      <c r="K147" s="507"/>
      <c r="L147" s="506"/>
      <c r="M147" s="507"/>
      <c r="N147" s="507"/>
      <c r="O147" s="507"/>
      <c r="P147" s="535"/>
      <c r="Q147" s="512"/>
      <c r="R147" s="513"/>
      <c r="S147" s="131"/>
      <c r="T147" s="599" t="str">
        <f t="shared" si="137"/>
        <v/>
      </c>
      <c r="W147" s="471">
        <f t="shared" ref="W147:X147" si="158">W146</f>
        <v>6</v>
      </c>
      <c r="X147" s="471" t="e">
        <f t="shared" si="158"/>
        <v>#REF!</v>
      </c>
      <c r="Y147" s="471" t="e">
        <f t="shared" si="139"/>
        <v>#REF!</v>
      </c>
      <c r="Z147" s="471"/>
      <c r="AA147" s="471"/>
    </row>
    <row r="148" spans="1:44" s="599" customFormat="1" ht="15.75" customHeight="1" x14ac:dyDescent="0.15">
      <c r="B148" s="670"/>
      <c r="C148" s="140"/>
      <c r="D148" s="670"/>
      <c r="E148" s="643"/>
      <c r="F148" s="207"/>
      <c r="G148" s="505"/>
      <c r="H148" s="463" t="str">
        <f t="shared" si="156"/>
        <v/>
      </c>
      <c r="I148" s="671"/>
      <c r="J148" s="506"/>
      <c r="K148" s="507"/>
      <c r="L148" s="506"/>
      <c r="M148" s="507"/>
      <c r="N148" s="507"/>
      <c r="O148" s="507"/>
      <c r="P148" s="535"/>
      <c r="Q148" s="512"/>
      <c r="R148" s="513"/>
      <c r="S148" s="131"/>
      <c r="T148" s="599" t="str">
        <f t="shared" si="137"/>
        <v/>
      </c>
      <c r="W148" s="471">
        <f t="shared" ref="W148:X148" si="159">W147</f>
        <v>6</v>
      </c>
      <c r="X148" s="471" t="e">
        <f t="shared" si="159"/>
        <v>#REF!</v>
      </c>
      <c r="Y148" s="471" t="e">
        <f t="shared" si="139"/>
        <v>#REF!</v>
      </c>
      <c r="Z148" s="471"/>
      <c r="AA148" s="471"/>
    </row>
    <row r="149" spans="1:44" s="599" customFormat="1" ht="15.75" customHeight="1" x14ac:dyDescent="0.15">
      <c r="B149" s="670"/>
      <c r="C149" s="140"/>
      <c r="D149" s="670"/>
      <c r="E149" s="643"/>
      <c r="F149" s="207"/>
      <c r="G149" s="505"/>
      <c r="H149" s="463" t="str">
        <f t="shared" si="156"/>
        <v/>
      </c>
      <c r="I149" s="671"/>
      <c r="J149" s="506"/>
      <c r="K149" s="507"/>
      <c r="L149" s="506"/>
      <c r="M149" s="507"/>
      <c r="N149" s="507"/>
      <c r="O149" s="507"/>
      <c r="P149" s="535"/>
      <c r="Q149" s="512"/>
      <c r="R149" s="513"/>
      <c r="S149" s="131"/>
      <c r="T149" s="599" t="str">
        <f t="shared" si="137"/>
        <v/>
      </c>
      <c r="W149" s="471">
        <f t="shared" ref="W149:X149" si="160">W148</f>
        <v>6</v>
      </c>
      <c r="X149" s="471" t="e">
        <f t="shared" si="160"/>
        <v>#REF!</v>
      </c>
      <c r="Y149" s="471" t="e">
        <f t="shared" si="139"/>
        <v>#REF!</v>
      </c>
      <c r="Z149" s="471"/>
      <c r="AA149" s="471"/>
    </row>
    <row r="150" spans="1:44" s="599" customFormat="1" ht="15.75" customHeight="1" x14ac:dyDescent="0.15">
      <c r="B150" s="670"/>
      <c r="C150" s="140"/>
      <c r="D150" s="670"/>
      <c r="E150" s="643"/>
      <c r="F150" s="207"/>
      <c r="G150" s="505"/>
      <c r="H150" s="463" t="str">
        <f t="shared" si="156"/>
        <v/>
      </c>
      <c r="I150" s="671"/>
      <c r="J150" s="506"/>
      <c r="K150" s="507"/>
      <c r="L150" s="506"/>
      <c r="M150" s="507"/>
      <c r="N150" s="507"/>
      <c r="O150" s="507"/>
      <c r="P150" s="535"/>
      <c r="Q150" s="512"/>
      <c r="R150" s="513"/>
      <c r="S150" s="131"/>
      <c r="T150" s="599" t="str">
        <f t="shared" si="137"/>
        <v/>
      </c>
      <c r="W150" s="471">
        <f t="shared" ref="W150:X150" si="161">W149</f>
        <v>6</v>
      </c>
      <c r="X150" s="471" t="e">
        <f t="shared" si="161"/>
        <v>#REF!</v>
      </c>
      <c r="Y150" s="471" t="e">
        <f t="shared" si="139"/>
        <v>#REF!</v>
      </c>
      <c r="Z150" s="471"/>
      <c r="AA150" s="471"/>
    </row>
    <row r="151" spans="1:44" s="599" customFormat="1" ht="15.75" customHeight="1" x14ac:dyDescent="0.15">
      <c r="B151" s="670"/>
      <c r="C151" s="140"/>
      <c r="D151" s="670"/>
      <c r="E151" s="643"/>
      <c r="F151" s="207"/>
      <c r="G151" s="505"/>
      <c r="H151" s="463" t="str">
        <f t="shared" si="156"/>
        <v/>
      </c>
      <c r="I151" s="671"/>
      <c r="J151" s="506"/>
      <c r="K151" s="507"/>
      <c r="L151" s="506"/>
      <c r="M151" s="507"/>
      <c r="N151" s="507"/>
      <c r="O151" s="507"/>
      <c r="P151" s="535"/>
      <c r="Q151" s="512"/>
      <c r="R151" s="513"/>
      <c r="S151" s="131"/>
      <c r="T151" s="599" t="str">
        <f t="shared" si="137"/>
        <v/>
      </c>
      <c r="W151" s="471">
        <f t="shared" ref="W151:X151" si="162">W150</f>
        <v>6</v>
      </c>
      <c r="X151" s="471" t="e">
        <f t="shared" si="162"/>
        <v>#REF!</v>
      </c>
      <c r="Y151" s="471" t="e">
        <f t="shared" si="139"/>
        <v>#REF!</v>
      </c>
      <c r="Z151" s="471"/>
      <c r="AA151" s="471"/>
    </row>
    <row r="152" spans="1:44" s="599" customFormat="1" ht="15.75" customHeight="1" x14ac:dyDescent="0.15">
      <c r="B152" s="670"/>
      <c r="C152" s="140"/>
      <c r="D152" s="670"/>
      <c r="E152" s="643"/>
      <c r="F152" s="207"/>
      <c r="G152" s="505"/>
      <c r="H152" s="463" t="str">
        <f t="shared" si="156"/>
        <v/>
      </c>
      <c r="I152" s="671"/>
      <c r="J152" s="506"/>
      <c r="K152" s="507"/>
      <c r="L152" s="506"/>
      <c r="M152" s="507"/>
      <c r="N152" s="507"/>
      <c r="O152" s="507"/>
      <c r="P152" s="535"/>
      <c r="Q152" s="512"/>
      <c r="R152" s="513"/>
      <c r="S152" s="131"/>
      <c r="T152" s="599" t="str">
        <f t="shared" si="137"/>
        <v/>
      </c>
      <c r="W152" s="471">
        <f t="shared" ref="W152:X152" si="163">W151</f>
        <v>6</v>
      </c>
      <c r="X152" s="471" t="e">
        <f t="shared" si="163"/>
        <v>#REF!</v>
      </c>
      <c r="Y152" s="471" t="e">
        <f t="shared" si="139"/>
        <v>#REF!</v>
      </c>
      <c r="Z152" s="471"/>
      <c r="AA152" s="471"/>
    </row>
    <row r="153" spans="1:44" s="599" customFormat="1" ht="15.75" customHeight="1" x14ac:dyDescent="0.15">
      <c r="B153" s="670"/>
      <c r="C153" s="140"/>
      <c r="D153" s="670"/>
      <c r="E153" s="643"/>
      <c r="F153" s="207"/>
      <c r="G153" s="505"/>
      <c r="H153" s="463" t="str">
        <f t="shared" si="156"/>
        <v/>
      </c>
      <c r="I153" s="671"/>
      <c r="J153" s="506"/>
      <c r="K153" s="507"/>
      <c r="L153" s="506"/>
      <c r="M153" s="507"/>
      <c r="N153" s="507"/>
      <c r="O153" s="507"/>
      <c r="P153" s="535"/>
      <c r="Q153" s="512"/>
      <c r="R153" s="513"/>
      <c r="S153" s="131"/>
      <c r="T153" s="599" t="str">
        <f t="shared" si="137"/>
        <v/>
      </c>
      <c r="W153" s="471">
        <f t="shared" ref="W153:X153" si="164">W152</f>
        <v>6</v>
      </c>
      <c r="X153" s="471" t="e">
        <f t="shared" si="164"/>
        <v>#REF!</v>
      </c>
      <c r="Y153" s="471" t="e">
        <f t="shared" si="139"/>
        <v>#REF!</v>
      </c>
      <c r="Z153" s="471"/>
      <c r="AA153" s="471"/>
    </row>
    <row r="154" spans="1:44" s="599" customFormat="1" ht="15.75" customHeight="1" x14ac:dyDescent="0.15">
      <c r="A154" s="473"/>
      <c r="B154" s="514" t="s">
        <v>751</v>
      </c>
      <c r="C154" s="515"/>
      <c r="D154" s="516"/>
      <c r="E154" s="517"/>
      <c r="F154" s="518"/>
      <c r="G154" s="519"/>
      <c r="H154" s="463" t="str">
        <f t="shared" si="156"/>
        <v/>
      </c>
      <c r="I154" s="520">
        <f>목록!$B$11</f>
        <v>6</v>
      </c>
      <c r="J154" s="521"/>
      <c r="K154" s="522">
        <f>SUM(K140:K153)</f>
        <v>226</v>
      </c>
      <c r="L154" s="521"/>
      <c r="M154" s="522">
        <f>SUM(M140:M153)</f>
        <v>4538</v>
      </c>
      <c r="N154" s="521"/>
      <c r="O154" s="522">
        <f>SUM(O140:O153)</f>
        <v>0</v>
      </c>
      <c r="P154" s="536"/>
      <c r="Q154" s="512"/>
      <c r="R154" s="513"/>
      <c r="S154" s="542"/>
      <c r="T154" s="599" t="str">
        <f t="shared" si="137"/>
        <v/>
      </c>
      <c r="W154" s="471">
        <f t="shared" ref="W154:X154" si="165">W153</f>
        <v>6</v>
      </c>
      <c r="X154" s="471" t="e">
        <f t="shared" si="165"/>
        <v>#REF!</v>
      </c>
      <c r="Y154" s="471" t="e">
        <f t="shared" si="139"/>
        <v>#REF!</v>
      </c>
      <c r="Z154" s="471"/>
      <c r="AA154" s="471"/>
    </row>
    <row r="155" spans="1:44" s="599" customFormat="1" ht="15.75" customHeight="1" x14ac:dyDescent="0.15">
      <c r="B155" s="453"/>
      <c r="C155" s="825" t="s">
        <v>1468</v>
      </c>
      <c r="D155" s="670"/>
      <c r="E155" s="643"/>
      <c r="F155" s="207"/>
      <c r="G155" s="505"/>
      <c r="H155" s="463" t="str">
        <f t="shared" si="156"/>
        <v>※ 건축표준품셈 : 18-1 해체 철거공사 2. 건축물 구조체별 철거 / 벽체 / 텍스, 합판 준용</v>
      </c>
      <c r="I155" s="671"/>
      <c r="J155" s="506"/>
      <c r="K155" s="507"/>
      <c r="L155" s="506"/>
      <c r="M155" s="507"/>
      <c r="N155" s="507"/>
      <c r="O155" s="507"/>
      <c r="P155" s="535"/>
      <c r="Q155" s="512"/>
      <c r="R155" s="513"/>
      <c r="S155" s="131"/>
      <c r="T155" s="599" t="str">
        <f t="shared" si="137"/>
        <v/>
      </c>
      <c r="W155" s="615">
        <f t="shared" ref="W155:X155" si="166">W154</f>
        <v>6</v>
      </c>
      <c r="X155" s="471" t="e">
        <f t="shared" si="166"/>
        <v>#REF!</v>
      </c>
      <c r="Y155" s="471" t="e">
        <f t="shared" si="139"/>
        <v>#REF!</v>
      </c>
      <c r="Z155" s="471"/>
      <c r="AA155" s="471"/>
    </row>
    <row r="156" spans="1:44" s="473" customFormat="1" ht="15.75" customHeight="1" x14ac:dyDescent="0.15">
      <c r="A156" s="599"/>
      <c r="B156" s="453"/>
      <c r="C156" s="825" t="s">
        <v>1466</v>
      </c>
      <c r="D156" s="670"/>
      <c r="E156" s="643"/>
      <c r="F156" s="207"/>
      <c r="G156" s="505"/>
      <c r="H156" s="463" t="str">
        <f t="shared" si="156"/>
        <v>※ 해체재를 재사용하지 아니하여 기준품의 60%를 적용함</v>
      </c>
      <c r="I156" s="671"/>
      <c r="J156" s="506"/>
      <c r="K156" s="507"/>
      <c r="L156" s="506"/>
      <c r="M156" s="507"/>
      <c r="N156" s="507"/>
      <c r="O156" s="507"/>
      <c r="P156" s="535"/>
      <c r="Q156" s="512"/>
      <c r="R156" s="513"/>
      <c r="S156" s="131"/>
      <c r="T156" s="599" t="str">
        <f t="shared" si="137"/>
        <v/>
      </c>
      <c r="V156" s="599"/>
      <c r="W156" s="471">
        <f t="shared" ref="W156:X156" si="167">W155</f>
        <v>6</v>
      </c>
      <c r="X156" s="471" t="e">
        <f t="shared" si="167"/>
        <v>#REF!</v>
      </c>
      <c r="Y156" s="471" t="e">
        <f t="shared" si="139"/>
        <v>#REF!</v>
      </c>
      <c r="Z156" s="471"/>
      <c r="AA156" s="471"/>
    </row>
    <row r="157" spans="1:44" s="599" customFormat="1" ht="15.75" customHeight="1" x14ac:dyDescent="0.15">
      <c r="A157" s="473"/>
      <c r="B157" s="514"/>
      <c r="C157" s="825" t="s">
        <v>1484</v>
      </c>
      <c r="D157" s="516"/>
      <c r="E157" s="517"/>
      <c r="F157" s="518"/>
      <c r="G157" s="519"/>
      <c r="H157" s="463" t="str">
        <f t="shared" si="156"/>
        <v>※ 실내건축표준품셈 : 철거-31 합판 또는 판재류 철거</v>
      </c>
      <c r="I157" s="520"/>
      <c r="J157" s="521"/>
      <c r="K157" s="522"/>
      <c r="L157" s="521"/>
      <c r="M157" s="522"/>
      <c r="N157" s="521"/>
      <c r="O157" s="522"/>
      <c r="P157" s="544"/>
      <c r="Q157" s="512"/>
      <c r="R157" s="513"/>
      <c r="S157" s="524"/>
      <c r="T157" s="599" t="str">
        <f t="shared" si="137"/>
        <v/>
      </c>
      <c r="W157" s="471">
        <f t="shared" ref="W157:X157" si="168">W156</f>
        <v>6</v>
      </c>
      <c r="X157" s="471" t="e">
        <f t="shared" si="168"/>
        <v>#REF!</v>
      </c>
      <c r="Y157" s="471" t="e">
        <f t="shared" si="139"/>
        <v>#REF!</v>
      </c>
      <c r="Z157" s="471"/>
      <c r="AA157" s="471"/>
    </row>
    <row r="158" spans="1:44" s="457" customFormat="1" ht="15.75" customHeight="1" x14ac:dyDescent="0.15">
      <c r="C158" s="458"/>
      <c r="D158" s="459"/>
      <c r="E158" s="460"/>
      <c r="F158" s="461"/>
      <c r="G158" s="462"/>
      <c r="H158" s="463" t="str">
        <f t="shared" ref="H158:H170" si="169">CONCATENATE(C158,E158,F158)</f>
        <v/>
      </c>
      <c r="I158" s="464"/>
      <c r="J158" s="465"/>
      <c r="K158" s="465"/>
      <c r="L158" s="465"/>
      <c r="M158" s="465"/>
      <c r="N158" s="465"/>
      <c r="O158" s="487"/>
      <c r="P158" s="467"/>
      <c r="Q158" s="468"/>
      <c r="R158" s="469"/>
      <c r="S158" s="467"/>
      <c r="T158" s="470" t="str">
        <f t="shared" ref="T158:T183" si="170">CONCATENATE(Q158,R158)</f>
        <v/>
      </c>
      <c r="V158" s="470"/>
      <c r="W158" s="533">
        <f t="shared" ref="W158" si="171">I180</f>
        <v>7</v>
      </c>
      <c r="X158" s="533" t="e">
        <f>#REF!+1</f>
        <v>#REF!</v>
      </c>
      <c r="Y158" s="533" t="e">
        <f t="shared" ref="Y158:Y183" si="172">X158-W158</f>
        <v>#REF!</v>
      </c>
      <c r="Z158" s="533"/>
      <c r="AA158" s="533"/>
      <c r="AB158" s="470"/>
      <c r="AC158" s="470"/>
      <c r="AD158" s="470"/>
      <c r="AE158" s="470"/>
      <c r="AF158" s="470"/>
      <c r="AG158" s="511"/>
      <c r="AH158" s="470"/>
      <c r="AI158" s="470"/>
      <c r="AJ158" s="470"/>
      <c r="AK158" s="470"/>
      <c r="AL158" s="470"/>
      <c r="AM158" s="470"/>
      <c r="AN158" s="470"/>
      <c r="AO158" s="470"/>
      <c r="AP158" s="470"/>
      <c r="AQ158" s="470"/>
      <c r="AR158" s="470"/>
    </row>
    <row r="159" spans="1:44" s="457" customFormat="1" ht="15.75" customHeight="1" x14ac:dyDescent="0.15">
      <c r="B159" s="473"/>
      <c r="C159" s="474" t="str">
        <f>"   항목번호 : "&amp;목록!L$12</f>
        <v xml:space="preserve">   항목번호 : 제7호표</v>
      </c>
      <c r="D159" s="475">
        <f>목록!B$12</f>
        <v>7</v>
      </c>
      <c r="E159" s="476"/>
      <c r="F159" s="477"/>
      <c r="G159" s="478"/>
      <c r="H159" s="463" t="str">
        <f t="shared" si="169"/>
        <v xml:space="preserve">   항목번호 : 제7호표</v>
      </c>
      <c r="I159" s="479"/>
      <c r="J159" s="480"/>
      <c r="K159" s="481"/>
      <c r="L159" s="482"/>
      <c r="M159" s="482"/>
      <c r="N159" s="482"/>
      <c r="O159" s="487"/>
      <c r="P159" s="483"/>
      <c r="Q159" s="484"/>
      <c r="R159" s="485"/>
      <c r="S159" s="483"/>
      <c r="T159" s="470" t="str">
        <f t="shared" si="170"/>
        <v/>
      </c>
      <c r="V159" s="547"/>
      <c r="W159" s="471">
        <f t="shared" ref="W159:X159" si="173">W158</f>
        <v>7</v>
      </c>
      <c r="X159" s="471" t="e">
        <f t="shared" si="173"/>
        <v>#REF!</v>
      </c>
      <c r="Y159" s="471" t="e">
        <f t="shared" si="172"/>
        <v>#REF!</v>
      </c>
      <c r="Z159" s="471"/>
      <c r="AA159" s="471"/>
      <c r="AG159" s="472"/>
    </row>
    <row r="160" spans="1:44" s="457" customFormat="1" ht="15.75" customHeight="1" x14ac:dyDescent="0.15">
      <c r="B160" s="473"/>
      <c r="C160" s="474" t="str">
        <f>"   공      종 : "&amp;목록!D$12</f>
        <v xml:space="preserve">   공      종 : 지정타일 붙이기</v>
      </c>
      <c r="D160" s="484"/>
      <c r="E160" s="476"/>
      <c r="F160" s="473"/>
      <c r="G160" s="478"/>
      <c r="H160" s="463" t="str">
        <f t="shared" si="169"/>
        <v xml:space="preserve">   공      종 : 지정타일 붙이기</v>
      </c>
      <c r="I160" s="479"/>
      <c r="J160" s="480"/>
      <c r="K160" s="481"/>
      <c r="L160" s="482"/>
      <c r="M160" s="482"/>
      <c r="N160" s="482"/>
      <c r="O160" s="487"/>
      <c r="P160" s="483"/>
      <c r="Q160" s="484"/>
      <c r="R160" s="485"/>
      <c r="S160" s="483"/>
      <c r="T160" s="470" t="str">
        <f t="shared" si="170"/>
        <v/>
      </c>
      <c r="V160" s="547"/>
      <c r="W160" s="471">
        <f t="shared" ref="W160:X160" si="174">W159</f>
        <v>7</v>
      </c>
      <c r="X160" s="471" t="e">
        <f t="shared" si="174"/>
        <v>#REF!</v>
      </c>
      <c r="Y160" s="471" t="e">
        <f t="shared" si="172"/>
        <v>#REF!</v>
      </c>
      <c r="Z160" s="471"/>
      <c r="AA160" s="471"/>
      <c r="AG160" s="472"/>
    </row>
    <row r="161" spans="1:44" s="457" customFormat="1" ht="15.75" customHeight="1" x14ac:dyDescent="0.15">
      <c r="B161" s="473"/>
      <c r="C161" s="474" t="str">
        <f xml:space="preserve"> "   규      격 : "&amp;목록!F$12</f>
        <v xml:space="preserve">   규      격 : THK=5mm, 벽,압착붙임기준</v>
      </c>
      <c r="D161" s="484"/>
      <c r="E161" s="476"/>
      <c r="F161" s="473"/>
      <c r="G161" s="478"/>
      <c r="H161" s="463" t="str">
        <f t="shared" si="169"/>
        <v xml:space="preserve">   규      격 : THK=5mm, 벽,압착붙임기준</v>
      </c>
      <c r="I161" s="479"/>
      <c r="J161" s="480" t="s">
        <v>348</v>
      </c>
      <c r="K161" s="481"/>
      <c r="L161" s="482" t="s">
        <v>349</v>
      </c>
      <c r="M161" s="482"/>
      <c r="N161" s="482" t="s">
        <v>240</v>
      </c>
      <c r="O161" s="487"/>
      <c r="P161" s="483"/>
      <c r="Q161" s="484" t="s">
        <v>779</v>
      </c>
      <c r="R161" s="484"/>
      <c r="S161" s="483"/>
      <c r="T161" s="470" t="str">
        <f t="shared" si="170"/>
        <v>합계</v>
      </c>
      <c r="V161" s="547"/>
      <c r="W161" s="471">
        <f t="shared" ref="W161:X161" si="175">W160</f>
        <v>7</v>
      </c>
      <c r="X161" s="471" t="e">
        <f t="shared" si="175"/>
        <v>#REF!</v>
      </c>
      <c r="Y161" s="471" t="e">
        <f t="shared" si="172"/>
        <v>#REF!</v>
      </c>
      <c r="Z161" s="471"/>
      <c r="AA161" s="471"/>
      <c r="AG161" s="472"/>
    </row>
    <row r="162" spans="1:44" s="457" customFormat="1" ht="15.75" customHeight="1" x14ac:dyDescent="0.15">
      <c r="B162" s="473"/>
      <c r="C162" s="474" t="str">
        <f>"   단      위 : "&amp;목록!G$12</f>
        <v xml:space="preserve">   단      위 : ㎡</v>
      </c>
      <c r="D162" s="484"/>
      <c r="E162" s="476"/>
      <c r="F162" s="473"/>
      <c r="G162" s="478"/>
      <c r="H162" s="463" t="str">
        <f t="shared" si="169"/>
        <v xml:space="preserve">   단      위 : ㎡</v>
      </c>
      <c r="I162" s="479"/>
      <c r="J162" s="486">
        <f>K180</f>
        <v>42196</v>
      </c>
      <c r="K162" s="481"/>
      <c r="L162" s="487">
        <f>M180</f>
        <v>41749</v>
      </c>
      <c r="M162" s="482"/>
      <c r="N162" s="482">
        <f>O180</f>
        <v>0</v>
      </c>
      <c r="O162" s="487"/>
      <c r="P162" s="483"/>
      <c r="Q162" s="488">
        <f>J162+L162+N162</f>
        <v>83945</v>
      </c>
      <c r="R162" s="489"/>
      <c r="S162" s="483"/>
      <c r="T162" s="470" t="str">
        <f t="shared" si="170"/>
        <v>83945</v>
      </c>
      <c r="V162" s="547"/>
      <c r="W162" s="471">
        <f t="shared" ref="W162:X162" si="176">W161</f>
        <v>7</v>
      </c>
      <c r="X162" s="471" t="e">
        <f t="shared" si="176"/>
        <v>#REF!</v>
      </c>
      <c r="Y162" s="471" t="e">
        <f t="shared" si="172"/>
        <v>#REF!</v>
      </c>
      <c r="Z162" s="471"/>
      <c r="AA162" s="471"/>
      <c r="AG162" s="472"/>
    </row>
    <row r="163" spans="1:44" s="457" customFormat="1" ht="15.75" customHeight="1" x14ac:dyDescent="0.15">
      <c r="B163" s="473"/>
      <c r="C163" s="474"/>
      <c r="D163" s="484"/>
      <c r="E163" s="476"/>
      <c r="F163" s="473"/>
      <c r="G163" s="490"/>
      <c r="H163" s="463" t="str">
        <f t="shared" si="169"/>
        <v/>
      </c>
      <c r="I163" s="491"/>
      <c r="J163" s="482"/>
      <c r="K163" s="465"/>
      <c r="L163" s="482"/>
      <c r="M163" s="482"/>
      <c r="N163" s="482"/>
      <c r="O163" s="487"/>
      <c r="P163" s="492"/>
      <c r="Q163" s="493"/>
      <c r="R163" s="485"/>
      <c r="S163" s="492"/>
      <c r="T163" s="470" t="str">
        <f t="shared" si="170"/>
        <v/>
      </c>
      <c r="V163" s="547"/>
      <c r="W163" s="471">
        <f t="shared" ref="W163:X163" si="177">W162</f>
        <v>7</v>
      </c>
      <c r="X163" s="471" t="e">
        <f t="shared" si="177"/>
        <v>#REF!</v>
      </c>
      <c r="Y163" s="471" t="e">
        <f t="shared" si="172"/>
        <v>#REF!</v>
      </c>
      <c r="Z163" s="471"/>
      <c r="AA163" s="471"/>
      <c r="AG163" s="472"/>
    </row>
    <row r="164" spans="1:44" s="457" customFormat="1" ht="15.75" customHeight="1" x14ac:dyDescent="0.15">
      <c r="A164" s="547"/>
      <c r="B164" s="899" t="s">
        <v>375</v>
      </c>
      <c r="C164" s="900"/>
      <c r="D164" s="915" t="s">
        <v>356</v>
      </c>
      <c r="E164" s="908"/>
      <c r="F164" s="903" t="s">
        <v>780</v>
      </c>
      <c r="G164" s="913" t="s">
        <v>781</v>
      </c>
      <c r="H164" s="463" t="str">
        <f t="shared" si="169"/>
        <v>단위</v>
      </c>
      <c r="I164" s="494"/>
      <c r="J164" s="495" t="s">
        <v>348</v>
      </c>
      <c r="K164" s="496"/>
      <c r="L164" s="495" t="s">
        <v>349</v>
      </c>
      <c r="M164" s="496"/>
      <c r="N164" s="497" t="s">
        <v>240</v>
      </c>
      <c r="O164" s="497"/>
      <c r="P164" s="498"/>
      <c r="Q164" s="558" t="s">
        <v>355</v>
      </c>
      <c r="R164" s="558"/>
      <c r="S164" s="499"/>
      <c r="T164" s="470" t="str">
        <f t="shared" si="170"/>
        <v>비  고</v>
      </c>
      <c r="V164" s="548"/>
      <c r="W164" s="471">
        <f t="shared" ref="W164:X164" si="178">W163</f>
        <v>7</v>
      </c>
      <c r="X164" s="471" t="e">
        <f t="shared" si="178"/>
        <v>#REF!</v>
      </c>
      <c r="Y164" s="471" t="e">
        <f t="shared" si="172"/>
        <v>#REF!</v>
      </c>
      <c r="Z164" s="471"/>
      <c r="AA164" s="471"/>
      <c r="AG164" s="472"/>
    </row>
    <row r="165" spans="1:44" s="457" customFormat="1" ht="15.75" customHeight="1" x14ac:dyDescent="0.15">
      <c r="A165" s="547"/>
      <c r="B165" s="901"/>
      <c r="C165" s="902"/>
      <c r="D165" s="916"/>
      <c r="E165" s="910"/>
      <c r="F165" s="904"/>
      <c r="G165" s="914"/>
      <c r="H165" s="463" t="str">
        <f t="shared" si="169"/>
        <v/>
      </c>
      <c r="I165" s="500"/>
      <c r="J165" s="501" t="s">
        <v>353</v>
      </c>
      <c r="K165" s="501" t="s">
        <v>354</v>
      </c>
      <c r="L165" s="501" t="s">
        <v>353</v>
      </c>
      <c r="M165" s="502" t="s">
        <v>354</v>
      </c>
      <c r="N165" s="501" t="s">
        <v>353</v>
      </c>
      <c r="O165" s="501" t="s">
        <v>354</v>
      </c>
      <c r="P165" s="503"/>
      <c r="Q165" s="559"/>
      <c r="R165" s="559"/>
      <c r="S165" s="504"/>
      <c r="T165" s="470" t="str">
        <f t="shared" si="170"/>
        <v/>
      </c>
      <c r="V165" s="548"/>
      <c r="W165" s="471">
        <f t="shared" ref="W165:X165" si="179">W164</f>
        <v>7</v>
      </c>
      <c r="X165" s="471" t="e">
        <f t="shared" si="179"/>
        <v>#REF!</v>
      </c>
      <c r="Y165" s="471" t="e">
        <f t="shared" si="172"/>
        <v>#REF!</v>
      </c>
      <c r="Z165" s="471"/>
      <c r="AA165" s="471"/>
      <c r="AG165" s="472"/>
    </row>
    <row r="166" spans="1:44" s="470" customFormat="1" ht="15.75" customHeight="1" x14ac:dyDescent="0.15">
      <c r="B166" s="95"/>
      <c r="C166" s="164" t="s">
        <v>1219</v>
      </c>
      <c r="D166" s="165"/>
      <c r="E166" s="164" t="s">
        <v>1220</v>
      </c>
      <c r="F166" s="455" t="s">
        <v>1178</v>
      </c>
      <c r="G166" s="824">
        <f>TRUNC(1*103%,4)</f>
        <v>1.03</v>
      </c>
      <c r="H166" s="463" t="str">
        <f t="shared" si="169"/>
        <v>지정타일THK=5mm, 지정사양㎡</v>
      </c>
      <c r="I166" s="451" t="str">
        <f>CONCATENATE(C166,E166,F166)</f>
        <v>지정타일THK=5mm, 지정사양㎡</v>
      </c>
      <c r="J166" s="506">
        <f>IF(OR($F166="인",$F166=""),"",VLOOKUP($H166,단가!$A:$S,19,FALSE))</f>
        <v>40000</v>
      </c>
      <c r="K166" s="507">
        <f t="shared" ref="K166" si="180">IF(J166="","",TRUNC($G166*J166,0))</f>
        <v>41200</v>
      </c>
      <c r="L166" s="506" t="str">
        <f>IF($F166="인",VLOOKUP($C:$C,노임!$C:$G,4,FALSE),"")</f>
        <v/>
      </c>
      <c r="M166" s="507" t="str">
        <f t="shared" ref="M166" si="181">IF(L166="","",TRUNC($G166*L166,0))</f>
        <v/>
      </c>
      <c r="N166" s="506"/>
      <c r="O166" s="507" t="str">
        <f t="shared" ref="O166" si="182">IF(N166="","",TRUNC($G166*N166,0))</f>
        <v/>
      </c>
      <c r="P166" s="508"/>
      <c r="Q166" s="512" t="str">
        <f>IF(F166="인","노임"&amp;VLOOKUP($C:$C,노임!C:G,5,FALSE)&amp;"번","단가"&amp;VLOOKUP($H:$H,단가!$A:$B,2,FALSE)&amp;"번")</f>
        <v>단가91번</v>
      </c>
      <c r="R166" s="513"/>
      <c r="S166" s="131"/>
      <c r="T166" s="599" t="str">
        <f t="shared" ref="T166" si="183">CONCATENATE(Q166,R166)</f>
        <v>단가91번</v>
      </c>
      <c r="V166" s="549"/>
      <c r="W166" s="471">
        <f t="shared" ref="W166:X166" si="184">W165</f>
        <v>7</v>
      </c>
      <c r="X166" s="471" t="e">
        <f t="shared" si="184"/>
        <v>#REF!</v>
      </c>
      <c r="Y166" s="471" t="e">
        <f t="shared" si="172"/>
        <v>#REF!</v>
      </c>
      <c r="Z166" s="471"/>
      <c r="AA166" s="471"/>
      <c r="AB166" s="457"/>
      <c r="AC166" s="457"/>
      <c r="AD166" s="457"/>
      <c r="AE166" s="457"/>
      <c r="AF166" s="457"/>
      <c r="AG166" s="472"/>
      <c r="AH166" s="457"/>
      <c r="AI166" s="457"/>
      <c r="AJ166" s="457"/>
      <c r="AK166" s="457"/>
      <c r="AL166" s="457"/>
      <c r="AM166" s="457"/>
      <c r="AN166" s="457"/>
      <c r="AO166" s="457"/>
      <c r="AP166" s="457"/>
      <c r="AQ166" s="457"/>
      <c r="AR166" s="457"/>
    </row>
    <row r="167" spans="1:44" s="470" customFormat="1" ht="15.75" customHeight="1" x14ac:dyDescent="0.15">
      <c r="B167" s="95"/>
      <c r="C167" s="822" t="s">
        <v>579</v>
      </c>
      <c r="D167" s="736"/>
      <c r="E167" s="823" t="s">
        <v>580</v>
      </c>
      <c r="F167" s="737" t="s">
        <v>357</v>
      </c>
      <c r="G167" s="824">
        <f>TRUNC(510*0.008,4)</f>
        <v>4.08</v>
      </c>
      <c r="H167" s="463" t="str">
        <f t="shared" si="169"/>
        <v>보통시멘트KSL 5201Kg</v>
      </c>
      <c r="I167" s="451" t="str">
        <f>CONCATENATE(C167,E167,F167)</f>
        <v>보통시멘트KSL 5201Kg</v>
      </c>
      <c r="J167" s="506">
        <f>IF(OR($F167="인",$F167=""),"",VLOOKUP($H167,단가!$A:$S,19,FALSE))</f>
        <v>135</v>
      </c>
      <c r="K167" s="507">
        <f>IF(J167="","",TRUNC($G167*J167,0))</f>
        <v>550</v>
      </c>
      <c r="L167" s="506" t="str">
        <f>IF($F167="인",VLOOKUP($C:$C,노임!$C:$G,4,FALSE),"")</f>
        <v/>
      </c>
      <c r="M167" s="507" t="str">
        <f>IF(L167="","",TRUNC($G167*L167,0))</f>
        <v/>
      </c>
      <c r="N167" s="506"/>
      <c r="O167" s="507" t="str">
        <f>IF(N167="","",TRUNC($G167*N167,0))</f>
        <v/>
      </c>
      <c r="P167" s="508"/>
      <c r="Q167" s="512" t="str">
        <f>IF(F167="인","노임"&amp;VLOOKUP($C:$C,노임!C:G,5,FALSE)&amp;"번","단가"&amp;VLOOKUP($H:$H,단가!$A:$B,2,FALSE)&amp;"번")</f>
        <v>단가6번</v>
      </c>
      <c r="R167" s="513"/>
      <c r="S167" s="131"/>
      <c r="T167" s="470" t="str">
        <f t="shared" si="170"/>
        <v>단가6번</v>
      </c>
      <c r="V167" s="549"/>
      <c r="W167" s="471">
        <f t="shared" ref="W167:X167" si="185">W166</f>
        <v>7</v>
      </c>
      <c r="X167" s="471" t="e">
        <f t="shared" si="185"/>
        <v>#REF!</v>
      </c>
      <c r="Y167" s="471" t="e">
        <f t="shared" si="172"/>
        <v>#REF!</v>
      </c>
      <c r="Z167" s="471"/>
      <c r="AA167" s="471"/>
      <c r="AB167" s="457"/>
      <c r="AC167" s="457"/>
      <c r="AD167" s="457"/>
      <c r="AE167" s="457"/>
      <c r="AF167" s="457"/>
      <c r="AG167" s="472"/>
      <c r="AH167" s="457"/>
      <c r="AI167" s="457"/>
      <c r="AJ167" s="457"/>
      <c r="AK167" s="457"/>
      <c r="AL167" s="457"/>
      <c r="AM167" s="457"/>
      <c r="AN167" s="457"/>
      <c r="AO167" s="457"/>
      <c r="AP167" s="457"/>
      <c r="AQ167" s="457"/>
      <c r="AR167" s="457"/>
    </row>
    <row r="168" spans="1:44" s="470" customFormat="1" ht="15.75" customHeight="1" x14ac:dyDescent="0.15">
      <c r="B168" s="95"/>
      <c r="C168" s="822" t="s">
        <v>581</v>
      </c>
      <c r="D168" s="736"/>
      <c r="E168" s="823" t="s">
        <v>582</v>
      </c>
      <c r="F168" s="737" t="s">
        <v>583</v>
      </c>
      <c r="G168" s="824">
        <f>TRUNC(1.1*0.008,4)</f>
        <v>8.8000000000000005E-3</v>
      </c>
      <c r="H168" s="463" t="str">
        <f t="shared" si="169"/>
        <v>모래강모래㎥</v>
      </c>
      <c r="I168" s="451" t="str">
        <f>CONCATENATE(C168,E168,F168)</f>
        <v>모래강모래㎥</v>
      </c>
      <c r="J168" s="506">
        <f>IF(OR($F168="인",$F168=""),"",VLOOKUP($H168,단가!$A:$S,19,FALSE))</f>
        <v>25000</v>
      </c>
      <c r="K168" s="507">
        <f t="shared" ref="K168" si="186">IF(J168="","",TRUNC($G168*J168,0))</f>
        <v>220</v>
      </c>
      <c r="L168" s="506" t="str">
        <f>IF($F168="인",VLOOKUP($C:$C,노임!$C:$G,4,FALSE),"")</f>
        <v/>
      </c>
      <c r="M168" s="507" t="str">
        <f t="shared" ref="M168" si="187">IF(L168="","",TRUNC($G168*L168,0))</f>
        <v/>
      </c>
      <c r="N168" s="506"/>
      <c r="O168" s="507" t="str">
        <f t="shared" ref="O168" si="188">IF(N168="","",TRUNC($G168*N168,0))</f>
        <v/>
      </c>
      <c r="P168" s="508"/>
      <c r="Q168" s="512" t="str">
        <f>IF(F168="인","노임"&amp;VLOOKUP($C:$C,노임!C:G,5,FALSE)&amp;"번","단가"&amp;VLOOKUP($H:$H,단가!$A:$B,2,FALSE)&amp;"번")</f>
        <v>단가5번</v>
      </c>
      <c r="R168" s="513"/>
      <c r="S168" s="131"/>
      <c r="T168" s="599" t="str">
        <f t="shared" ref="T168" si="189">CONCATENATE(Q168,R168)</f>
        <v>단가5번</v>
      </c>
      <c r="V168" s="549"/>
      <c r="W168" s="471">
        <f t="shared" ref="W168:X168" si="190">W167</f>
        <v>7</v>
      </c>
      <c r="X168" s="471" t="e">
        <f t="shared" si="190"/>
        <v>#REF!</v>
      </c>
      <c r="Y168" s="471" t="e">
        <f t="shared" si="172"/>
        <v>#REF!</v>
      </c>
      <c r="Z168" s="471"/>
      <c r="AA168" s="471"/>
      <c r="AB168" s="457"/>
      <c r="AC168" s="457"/>
      <c r="AD168" s="457"/>
      <c r="AE168" s="457"/>
      <c r="AF168" s="457"/>
      <c r="AG168" s="472"/>
      <c r="AH168" s="457"/>
      <c r="AI168" s="457"/>
      <c r="AJ168" s="457"/>
      <c r="AK168" s="457"/>
      <c r="AL168" s="457"/>
      <c r="AM168" s="457"/>
      <c r="AN168" s="457"/>
      <c r="AO168" s="457"/>
      <c r="AP168" s="457"/>
      <c r="AQ168" s="457"/>
      <c r="AR168" s="457"/>
    </row>
    <row r="169" spans="1:44" s="470" customFormat="1" ht="15.75" customHeight="1" x14ac:dyDescent="0.15">
      <c r="B169" s="95"/>
      <c r="C169" s="822" t="s">
        <v>268</v>
      </c>
      <c r="D169" s="736"/>
      <c r="E169" s="823" t="s">
        <v>1211</v>
      </c>
      <c r="F169" s="737" t="s">
        <v>364</v>
      </c>
      <c r="G169" s="824">
        <v>0.19500000000000001</v>
      </c>
      <c r="H169" s="463" t="str">
        <f t="shared" si="169"/>
        <v>타일공붙임인</v>
      </c>
      <c r="I169" s="451" t="str">
        <f>CONCATENATE(C169,E169,F169)</f>
        <v>타일공붙임인</v>
      </c>
      <c r="J169" s="506" t="str">
        <f>IF(OR($F169="인",$F169=""),"",VLOOKUP($H169,단가!$A:$S,19,FALSE))</f>
        <v/>
      </c>
      <c r="K169" s="507" t="str">
        <f>IF(J169="","",TRUNC($G169*J169,0))</f>
        <v/>
      </c>
      <c r="L169" s="506">
        <f>IF($F169="인",VLOOKUP($C:$C,노임!$C:$G,4,FALSE),"")</f>
        <v>164998</v>
      </c>
      <c r="M169" s="507">
        <f>IF(L169="","",TRUNC($G169*L169,0))</f>
        <v>32174</v>
      </c>
      <c r="N169" s="506"/>
      <c r="O169" s="507" t="str">
        <f>IF(N169="","",TRUNC($G169*N169,0))</f>
        <v/>
      </c>
      <c r="P169" s="508"/>
      <c r="Q169" s="512" t="str">
        <f>IF(F169="인","노임"&amp;VLOOKUP($C:$C,노임!C:G,5,FALSE)&amp;"번","단가"&amp;VLOOKUP($H:$H,단가!$A:$B,2,FALSE)&amp;"번")</f>
        <v>노임1028번</v>
      </c>
      <c r="R169" s="513"/>
      <c r="S169" s="131"/>
      <c r="T169" s="470" t="str">
        <f t="shared" si="170"/>
        <v>노임1028번</v>
      </c>
      <c r="V169" s="549"/>
      <c r="W169" s="471">
        <f t="shared" ref="W169:X169" si="191">W168</f>
        <v>7</v>
      </c>
      <c r="X169" s="471" t="e">
        <f t="shared" si="191"/>
        <v>#REF!</v>
      </c>
      <c r="Y169" s="471" t="e">
        <f t="shared" si="172"/>
        <v>#REF!</v>
      </c>
      <c r="Z169" s="471"/>
      <c r="AA169" s="471"/>
      <c r="AG169" s="511"/>
    </row>
    <row r="170" spans="1:44" s="470" customFormat="1" ht="15.75" customHeight="1" x14ac:dyDescent="0.15">
      <c r="B170" s="95"/>
      <c r="C170" s="822" t="s">
        <v>245</v>
      </c>
      <c r="D170" s="736"/>
      <c r="E170" s="823" t="s">
        <v>1211</v>
      </c>
      <c r="F170" s="737" t="s">
        <v>364</v>
      </c>
      <c r="G170" s="824">
        <v>6.6000000000000003E-2</v>
      </c>
      <c r="H170" s="463" t="str">
        <f t="shared" si="169"/>
        <v>보통인부붙임인</v>
      </c>
      <c r="I170" s="451" t="str">
        <f>CONCATENATE(C170,E170,F170)</f>
        <v>보통인부붙임인</v>
      </c>
      <c r="J170" s="506" t="str">
        <f>IF(OR($F170="인",$F170=""),"",VLOOKUP($H170,단가!$A:$S,19,FALSE))</f>
        <v/>
      </c>
      <c r="K170" s="507" t="str">
        <f>IF(J170="","",TRUNC($G170*J170,0))</f>
        <v/>
      </c>
      <c r="L170" s="506">
        <f>IF($F170="인",VLOOKUP($C:$C,노임!$C:$G,4,FALSE),"")</f>
        <v>106846</v>
      </c>
      <c r="M170" s="507">
        <f>IF(L170="","",TRUNC($G170*L170,0))</f>
        <v>7051</v>
      </c>
      <c r="N170" s="506"/>
      <c r="O170" s="507" t="str">
        <f>IF(N170="","",TRUNC($G170*N170,0))</f>
        <v/>
      </c>
      <c r="P170" s="508"/>
      <c r="Q170" s="512" t="str">
        <f>IF(F170="인","노임"&amp;VLOOKUP($C:$C,노임!C:G,5,FALSE)&amp;"번","단가"&amp;VLOOKUP($H:$H,단가!$A:$B,2,FALSE)&amp;"번")</f>
        <v>노임1002번</v>
      </c>
      <c r="R170" s="513"/>
      <c r="S170" s="131"/>
      <c r="T170" s="470" t="str">
        <f t="shared" si="170"/>
        <v>노임1002번</v>
      </c>
      <c r="V170" s="549"/>
      <c r="W170" s="471">
        <f t="shared" ref="W170:X170" si="192">W169</f>
        <v>7</v>
      </c>
      <c r="X170" s="471" t="e">
        <f t="shared" si="192"/>
        <v>#REF!</v>
      </c>
      <c r="Y170" s="471" t="e">
        <f t="shared" si="172"/>
        <v>#REF!</v>
      </c>
      <c r="Z170" s="471"/>
      <c r="AA170" s="471"/>
      <c r="AG170" s="511"/>
    </row>
    <row r="171" spans="1:44" s="470" customFormat="1" ht="15.75" customHeight="1" x14ac:dyDescent="0.15">
      <c r="B171" s="95"/>
      <c r="C171" s="822" t="s">
        <v>373</v>
      </c>
      <c r="D171" s="736"/>
      <c r="E171" s="823" t="s">
        <v>1212</v>
      </c>
      <c r="F171" s="737" t="s">
        <v>358</v>
      </c>
      <c r="G171" s="824">
        <v>1</v>
      </c>
      <c r="H171" s="463"/>
      <c r="I171" s="451"/>
      <c r="J171" s="506"/>
      <c r="K171" s="507"/>
      <c r="L171" s="506"/>
      <c r="M171" s="507"/>
      <c r="N171" s="506"/>
      <c r="O171" s="507"/>
      <c r="P171" s="508"/>
      <c r="Q171" s="512"/>
      <c r="R171" s="513"/>
      <c r="S171" s="131"/>
      <c r="T171" s="470" t="str">
        <f t="shared" si="170"/>
        <v/>
      </c>
      <c r="V171" s="549"/>
      <c r="W171" s="471">
        <f t="shared" ref="W171:X171" si="193">W170</f>
        <v>7</v>
      </c>
      <c r="X171" s="471" t="e">
        <f t="shared" si="193"/>
        <v>#REF!</v>
      </c>
      <c r="Y171" s="471" t="e">
        <f t="shared" si="172"/>
        <v>#REF!</v>
      </c>
      <c r="Z171" s="471"/>
      <c r="AA171" s="471"/>
      <c r="AG171" s="511"/>
    </row>
    <row r="172" spans="1:44" s="470" customFormat="1" ht="15.75" customHeight="1" x14ac:dyDescent="0.15">
      <c r="B172" s="95"/>
      <c r="C172" s="822" t="s">
        <v>1213</v>
      </c>
      <c r="D172" s="736"/>
      <c r="E172" s="823" t="s">
        <v>1214</v>
      </c>
      <c r="F172" s="737" t="s">
        <v>357</v>
      </c>
      <c r="G172" s="824">
        <f>TRUNC(1093*0.001,4)</f>
        <v>1.093</v>
      </c>
      <c r="H172" s="463" t="str">
        <f t="shared" ref="H172:H183" si="194">CONCATENATE(C172,E172,F172)</f>
        <v>타일시멘트줄눈용, 백색Kg</v>
      </c>
      <c r="I172" s="451" t="str">
        <f t="shared" ref="I172:I178" si="195">CONCATENATE(C172,E172,F172)</f>
        <v>타일시멘트줄눈용, 백색Kg</v>
      </c>
      <c r="J172" s="506">
        <f>IF(OR($F172="인",$F172=""),"",VLOOKUP($H172,단가!$A:$S,19,FALSE))</f>
        <v>192</v>
      </c>
      <c r="K172" s="507">
        <f t="shared" ref="K172:K174" si="196">IF(J172="","",TRUNC($G172*J172,0))</f>
        <v>209</v>
      </c>
      <c r="L172" s="506" t="str">
        <f>IF($F172="인",VLOOKUP($C:$C,노임!$C:$G,4,FALSE),"")</f>
        <v/>
      </c>
      <c r="M172" s="507" t="str">
        <f t="shared" ref="M172:M174" si="197">IF(L172="","",TRUNC($G172*L172,0))</f>
        <v/>
      </c>
      <c r="N172" s="506"/>
      <c r="O172" s="507" t="str">
        <f t="shared" ref="O172:O174" si="198">IF(N172="","",TRUNC($G172*N172,0))</f>
        <v/>
      </c>
      <c r="P172" s="508"/>
      <c r="Q172" s="512" t="str">
        <f>IF(F172="인","노임"&amp;VLOOKUP($C:$C,노임!C:G,5,FALSE)&amp;"번","단가"&amp;VLOOKUP($H:$H,단가!$A:$B,2,FALSE)&amp;"번")</f>
        <v>단가7번</v>
      </c>
      <c r="R172" s="513"/>
      <c r="S172" s="131"/>
      <c r="T172" s="599" t="str">
        <f t="shared" si="170"/>
        <v>단가7번</v>
      </c>
      <c r="V172" s="549"/>
      <c r="W172" s="471">
        <f t="shared" ref="W172:X172" si="199">W171</f>
        <v>7</v>
      </c>
      <c r="X172" s="471" t="e">
        <f t="shared" si="199"/>
        <v>#REF!</v>
      </c>
      <c r="Y172" s="471" t="e">
        <f t="shared" si="172"/>
        <v>#REF!</v>
      </c>
      <c r="Z172" s="471"/>
      <c r="AA172" s="471"/>
      <c r="AG172" s="511"/>
    </row>
    <row r="173" spans="1:44" s="470" customFormat="1" ht="15.75" customHeight="1" x14ac:dyDescent="0.15">
      <c r="B173" s="95"/>
      <c r="C173" s="822" t="s">
        <v>581</v>
      </c>
      <c r="D173" s="736"/>
      <c r="E173" s="823" t="s">
        <v>582</v>
      </c>
      <c r="F173" s="737" t="s">
        <v>583</v>
      </c>
      <c r="G173" s="824">
        <f>TRUNC(0.78*0.001,4)</f>
        <v>6.9999999999999999E-4</v>
      </c>
      <c r="H173" s="463" t="str">
        <f t="shared" si="194"/>
        <v>모래강모래㎥</v>
      </c>
      <c r="I173" s="451" t="str">
        <f t="shared" si="195"/>
        <v>모래강모래㎥</v>
      </c>
      <c r="J173" s="506">
        <f>IF(OR($F173="인",$F173=""),"",VLOOKUP($H173,단가!$A:$S,19,FALSE))</f>
        <v>25000</v>
      </c>
      <c r="K173" s="507">
        <f t="shared" si="196"/>
        <v>17</v>
      </c>
      <c r="L173" s="506" t="str">
        <f>IF($F173="인",VLOOKUP($C:$C,노임!$C:$G,4,FALSE),"")</f>
        <v/>
      </c>
      <c r="M173" s="507" t="str">
        <f t="shared" si="197"/>
        <v/>
      </c>
      <c r="N173" s="506"/>
      <c r="O173" s="507" t="str">
        <f t="shared" si="198"/>
        <v/>
      </c>
      <c r="P173" s="508"/>
      <c r="Q173" s="512" t="str">
        <f>IF(F173="인","노임"&amp;VLOOKUP($C:$C,노임!C:G,5,FALSE)&amp;"번","단가"&amp;VLOOKUP($H:$H,단가!$A:$B,2,FALSE)&amp;"번")</f>
        <v>단가5번</v>
      </c>
      <c r="R173" s="513"/>
      <c r="S173" s="131"/>
      <c r="T173" s="599" t="str">
        <f t="shared" si="170"/>
        <v>단가5번</v>
      </c>
      <c r="V173" s="549"/>
      <c r="W173" s="471">
        <f t="shared" ref="W173:X173" si="200">W172</f>
        <v>7</v>
      </c>
      <c r="X173" s="471" t="e">
        <f t="shared" si="200"/>
        <v>#REF!</v>
      </c>
      <c r="Y173" s="471" t="e">
        <f t="shared" si="172"/>
        <v>#REF!</v>
      </c>
      <c r="Z173" s="471"/>
      <c r="AA173" s="471"/>
      <c r="AG173" s="511"/>
    </row>
    <row r="174" spans="1:44" s="470" customFormat="1" ht="15.75" customHeight="1" x14ac:dyDescent="0.15">
      <c r="B174" s="95"/>
      <c r="C174" s="822" t="s">
        <v>275</v>
      </c>
      <c r="D174" s="736"/>
      <c r="E174" s="823" t="s">
        <v>1215</v>
      </c>
      <c r="F174" s="737" t="s">
        <v>364</v>
      </c>
      <c r="G174" s="824">
        <v>0.02</v>
      </c>
      <c r="H174" s="463" t="str">
        <f t="shared" si="194"/>
        <v>줄눈공타일줄눈인</v>
      </c>
      <c r="I174" s="451" t="str">
        <f t="shared" si="195"/>
        <v>줄눈공타일줄눈인</v>
      </c>
      <c r="J174" s="506" t="str">
        <f>IF(OR($F174="인",$F174=""),"",VLOOKUP($H174,단가!$A:$S,19,FALSE))</f>
        <v/>
      </c>
      <c r="K174" s="507" t="str">
        <f t="shared" si="196"/>
        <v/>
      </c>
      <c r="L174" s="506">
        <f>IF($F174="인",VLOOKUP($C:$C,노임!$C:$G,4,FALSE),"")</f>
        <v>126210</v>
      </c>
      <c r="M174" s="507">
        <f t="shared" si="197"/>
        <v>2524</v>
      </c>
      <c r="N174" s="506"/>
      <c r="O174" s="507" t="str">
        <f t="shared" si="198"/>
        <v/>
      </c>
      <c r="P174" s="508"/>
      <c r="Q174" s="512" t="str">
        <f>IF(F174="인","노임"&amp;VLOOKUP($C:$C,노임!C:G,5,FALSE)&amp;"번","단가"&amp;VLOOKUP($H:$H,단가!$A:$B,2,FALSE)&amp;"번")</f>
        <v>노임1034번</v>
      </c>
      <c r="R174" s="513"/>
      <c r="S174" s="131"/>
      <c r="T174" s="599" t="str">
        <f t="shared" si="170"/>
        <v>노임1034번</v>
      </c>
      <c r="V174" s="549"/>
      <c r="W174" s="471">
        <f t="shared" ref="W174:X174" si="201">W173</f>
        <v>7</v>
      </c>
      <c r="X174" s="471" t="e">
        <f t="shared" si="201"/>
        <v>#REF!</v>
      </c>
      <c r="Y174" s="471" t="e">
        <f t="shared" si="172"/>
        <v>#REF!</v>
      </c>
      <c r="Z174" s="471"/>
      <c r="AA174" s="471"/>
      <c r="AG174" s="511"/>
    </row>
    <row r="175" spans="1:44" s="470" customFormat="1" ht="15.75" customHeight="1" x14ac:dyDescent="0.15">
      <c r="B175" s="95"/>
      <c r="C175" s="822"/>
      <c r="D175" s="736"/>
      <c r="E175" s="823"/>
      <c r="F175" s="737"/>
      <c r="G175" s="824"/>
      <c r="H175" s="463" t="str">
        <f t="shared" si="194"/>
        <v/>
      </c>
      <c r="I175" s="451" t="str">
        <f t="shared" si="195"/>
        <v/>
      </c>
      <c r="J175" s="506"/>
      <c r="K175" s="507"/>
      <c r="L175" s="506"/>
      <c r="M175" s="507"/>
      <c r="N175" s="507"/>
      <c r="O175" s="507"/>
      <c r="P175" s="508"/>
      <c r="Q175" s="512"/>
      <c r="R175" s="513"/>
      <c r="S175" s="131"/>
      <c r="T175" s="470" t="str">
        <f t="shared" si="170"/>
        <v/>
      </c>
      <c r="V175" s="549"/>
      <c r="W175" s="471">
        <f t="shared" ref="W175:X175" si="202">W174</f>
        <v>7</v>
      </c>
      <c r="X175" s="471" t="e">
        <f t="shared" si="202"/>
        <v>#REF!</v>
      </c>
      <c r="Y175" s="471" t="e">
        <f t="shared" si="172"/>
        <v>#REF!</v>
      </c>
      <c r="Z175" s="471"/>
      <c r="AA175" s="471"/>
      <c r="AG175" s="511"/>
    </row>
    <row r="176" spans="1:44" s="470" customFormat="1" ht="15.75" customHeight="1" x14ac:dyDescent="0.15">
      <c r="B176" s="95"/>
      <c r="C176" s="140"/>
      <c r="D176" s="95"/>
      <c r="E176" s="141"/>
      <c r="F176" s="94"/>
      <c r="G176" s="505"/>
      <c r="H176" s="463" t="str">
        <f t="shared" si="194"/>
        <v/>
      </c>
      <c r="I176" s="451" t="str">
        <f t="shared" si="195"/>
        <v/>
      </c>
      <c r="J176" s="506"/>
      <c r="K176" s="507"/>
      <c r="L176" s="506"/>
      <c r="M176" s="507"/>
      <c r="N176" s="507"/>
      <c r="O176" s="507"/>
      <c r="P176" s="508"/>
      <c r="Q176" s="512"/>
      <c r="R176" s="513"/>
      <c r="S176" s="131"/>
      <c r="T176" s="470" t="str">
        <f t="shared" si="170"/>
        <v/>
      </c>
      <c r="V176" s="549"/>
      <c r="W176" s="471">
        <f t="shared" ref="W176:X176" si="203">W175</f>
        <v>7</v>
      </c>
      <c r="X176" s="471" t="e">
        <f t="shared" si="203"/>
        <v>#REF!</v>
      </c>
      <c r="Y176" s="471" t="e">
        <f t="shared" si="172"/>
        <v>#REF!</v>
      </c>
      <c r="Z176" s="471"/>
      <c r="AA176" s="471"/>
      <c r="AG176" s="511"/>
    </row>
    <row r="177" spans="1:44" s="470" customFormat="1" ht="15.75" customHeight="1" x14ac:dyDescent="0.15">
      <c r="B177" s="95"/>
      <c r="C177" s="140"/>
      <c r="D177" s="95"/>
      <c r="E177" s="141"/>
      <c r="F177" s="94"/>
      <c r="G177" s="505"/>
      <c r="H177" s="463" t="str">
        <f t="shared" si="194"/>
        <v/>
      </c>
      <c r="I177" s="451" t="str">
        <f t="shared" si="195"/>
        <v/>
      </c>
      <c r="J177" s="506"/>
      <c r="K177" s="507"/>
      <c r="L177" s="506"/>
      <c r="M177" s="507"/>
      <c r="N177" s="507"/>
      <c r="O177" s="507"/>
      <c r="P177" s="508"/>
      <c r="Q177" s="512"/>
      <c r="R177" s="513"/>
      <c r="S177" s="131"/>
      <c r="T177" s="470" t="str">
        <f t="shared" si="170"/>
        <v/>
      </c>
      <c r="V177" s="549"/>
      <c r="W177" s="471">
        <f t="shared" ref="W177:X177" si="204">W176</f>
        <v>7</v>
      </c>
      <c r="X177" s="471" t="e">
        <f t="shared" si="204"/>
        <v>#REF!</v>
      </c>
      <c r="Y177" s="471" t="e">
        <f t="shared" si="172"/>
        <v>#REF!</v>
      </c>
      <c r="Z177" s="471"/>
      <c r="AA177" s="471"/>
      <c r="AG177" s="511"/>
    </row>
    <row r="178" spans="1:44" s="470" customFormat="1" ht="15.75" customHeight="1" x14ac:dyDescent="0.15">
      <c r="B178" s="95"/>
      <c r="C178" s="140"/>
      <c r="D178" s="95"/>
      <c r="E178" s="141"/>
      <c r="F178" s="94"/>
      <c r="G178" s="505"/>
      <c r="H178" s="463" t="str">
        <f t="shared" si="194"/>
        <v/>
      </c>
      <c r="I178" s="451" t="str">
        <f t="shared" si="195"/>
        <v/>
      </c>
      <c r="J178" s="506"/>
      <c r="K178" s="507"/>
      <c r="L178" s="506"/>
      <c r="M178" s="507"/>
      <c r="N178" s="507"/>
      <c r="O178" s="507"/>
      <c r="P178" s="508"/>
      <c r="Q178" s="512"/>
      <c r="R178" s="513"/>
      <c r="S178" s="131"/>
      <c r="T178" s="470" t="str">
        <f t="shared" si="170"/>
        <v/>
      </c>
      <c r="V178" s="549"/>
      <c r="W178" s="471">
        <f t="shared" ref="W178:X178" si="205">W177</f>
        <v>7</v>
      </c>
      <c r="X178" s="471" t="e">
        <f t="shared" si="205"/>
        <v>#REF!</v>
      </c>
      <c r="Y178" s="471" t="e">
        <f t="shared" si="172"/>
        <v>#REF!</v>
      </c>
      <c r="Z178" s="471"/>
      <c r="AA178" s="471"/>
      <c r="AG178" s="511"/>
    </row>
    <row r="179" spans="1:44" s="470" customFormat="1" ht="15.75" customHeight="1" x14ac:dyDescent="0.15">
      <c r="B179" s="95"/>
      <c r="C179" s="140"/>
      <c r="D179" s="95"/>
      <c r="E179" s="141"/>
      <c r="F179" s="94"/>
      <c r="G179" s="505"/>
      <c r="H179" s="463" t="str">
        <f t="shared" si="194"/>
        <v/>
      </c>
      <c r="I179" s="451"/>
      <c r="J179" s="506"/>
      <c r="K179" s="507"/>
      <c r="L179" s="506"/>
      <c r="M179" s="507"/>
      <c r="N179" s="507"/>
      <c r="O179" s="507"/>
      <c r="P179" s="508"/>
      <c r="Q179" s="512"/>
      <c r="R179" s="513"/>
      <c r="S179" s="131"/>
      <c r="T179" s="470" t="str">
        <f t="shared" si="170"/>
        <v/>
      </c>
      <c r="V179" s="549"/>
      <c r="W179" s="471">
        <f t="shared" ref="W179:X179" si="206">W178</f>
        <v>7</v>
      </c>
      <c r="X179" s="471" t="e">
        <f t="shared" si="206"/>
        <v>#REF!</v>
      </c>
      <c r="Y179" s="471" t="e">
        <f t="shared" si="172"/>
        <v>#REF!</v>
      </c>
      <c r="Z179" s="471"/>
      <c r="AA179" s="471"/>
      <c r="AG179" s="511"/>
    </row>
    <row r="180" spans="1:44" s="470" customFormat="1" ht="15.75" customHeight="1" x14ac:dyDescent="0.15">
      <c r="A180" s="457"/>
      <c r="B180" s="538" t="s">
        <v>763</v>
      </c>
      <c r="C180" s="515"/>
      <c r="D180" s="516"/>
      <c r="E180" s="517"/>
      <c r="F180" s="518"/>
      <c r="G180" s="519"/>
      <c r="H180" s="463" t="str">
        <f t="shared" si="194"/>
        <v/>
      </c>
      <c r="I180" s="520">
        <f>목록!$B$12</f>
        <v>7</v>
      </c>
      <c r="J180" s="521"/>
      <c r="K180" s="522">
        <f>SUM(K166:K179)</f>
        <v>42196</v>
      </c>
      <c r="L180" s="521"/>
      <c r="M180" s="522">
        <f>SUM(M166:M179)</f>
        <v>41749</v>
      </c>
      <c r="N180" s="521"/>
      <c r="O180" s="522">
        <f>SUM(O166:O179)</f>
        <v>0</v>
      </c>
      <c r="P180" s="523"/>
      <c r="Q180" s="512"/>
      <c r="R180" s="513"/>
      <c r="S180" s="524"/>
      <c r="T180" s="470" t="str">
        <f t="shared" si="170"/>
        <v/>
      </c>
      <c r="V180" s="551"/>
      <c r="W180" s="471">
        <f t="shared" ref="W180:X180" si="207">W179</f>
        <v>7</v>
      </c>
      <c r="X180" s="471" t="e">
        <f t="shared" si="207"/>
        <v>#REF!</v>
      </c>
      <c r="Y180" s="471" t="e">
        <f t="shared" si="172"/>
        <v>#REF!</v>
      </c>
      <c r="Z180" s="471"/>
      <c r="AA180" s="471"/>
      <c r="AG180" s="511"/>
    </row>
    <row r="181" spans="1:44" s="457" customFormat="1" ht="15.75" customHeight="1" x14ac:dyDescent="0.15">
      <c r="A181" s="470"/>
      <c r="B181" s="453"/>
      <c r="C181" s="825" t="s">
        <v>1216</v>
      </c>
      <c r="D181" s="95"/>
      <c r="E181" s="141"/>
      <c r="F181" s="94"/>
      <c r="G181" s="505"/>
      <c r="H181" s="463" t="str">
        <f t="shared" si="194"/>
        <v>※ 건축표준품셈 10-2-2 압착붙이기 - 타일규격에 따라 타일붙임품 변경, 타일할증3%</v>
      </c>
      <c r="I181" s="451"/>
      <c r="J181" s="506"/>
      <c r="K181" s="507"/>
      <c r="L181" s="506"/>
      <c r="M181" s="507"/>
      <c r="N181" s="507"/>
      <c r="O181" s="507"/>
      <c r="P181" s="508"/>
      <c r="Q181" s="512"/>
      <c r="R181" s="513"/>
      <c r="S181" s="131"/>
      <c r="T181" s="470" t="str">
        <f t="shared" si="170"/>
        <v/>
      </c>
      <c r="V181" s="470"/>
      <c r="W181" s="615">
        <f t="shared" ref="W181:X181" si="208">W180</f>
        <v>7</v>
      </c>
      <c r="X181" s="471" t="e">
        <f t="shared" si="208"/>
        <v>#REF!</v>
      </c>
      <c r="Y181" s="471" t="e">
        <f t="shared" si="172"/>
        <v>#REF!</v>
      </c>
      <c r="Z181" s="471"/>
      <c r="AA181" s="471"/>
      <c r="AB181" s="470"/>
      <c r="AC181" s="470"/>
      <c r="AD181" s="470"/>
      <c r="AE181" s="470"/>
      <c r="AF181" s="470"/>
      <c r="AG181" s="511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</row>
    <row r="182" spans="1:44" s="470" customFormat="1" ht="15.75" customHeight="1" x14ac:dyDescent="0.15">
      <c r="B182" s="453"/>
      <c r="C182" s="826" t="s">
        <v>1217</v>
      </c>
      <c r="D182" s="95"/>
      <c r="E182" s="141"/>
      <c r="F182" s="94"/>
      <c r="G182" s="505"/>
      <c r="H182" s="463" t="str">
        <f t="shared" si="194"/>
        <v xml:space="preserve">                바닥붙임품 : 벽붙임 80%, 붙이는 면적 1.6㎡이하, 복잡한 장소 품20~30%가산</v>
      </c>
      <c r="I182" s="451"/>
      <c r="J182" s="506"/>
      <c r="K182" s="507"/>
      <c r="L182" s="506"/>
      <c r="M182" s="507"/>
      <c r="N182" s="507"/>
      <c r="O182" s="507"/>
      <c r="P182" s="508"/>
      <c r="Q182" s="512"/>
      <c r="R182" s="513"/>
      <c r="S182" s="131"/>
      <c r="T182" s="470" t="str">
        <f t="shared" si="170"/>
        <v/>
      </c>
      <c r="W182" s="471">
        <f t="shared" ref="W182:X182" si="209">W181</f>
        <v>7</v>
      </c>
      <c r="X182" s="471" t="e">
        <f t="shared" si="209"/>
        <v>#REF!</v>
      </c>
      <c r="Y182" s="471" t="e">
        <f t="shared" si="172"/>
        <v>#REF!</v>
      </c>
      <c r="Z182" s="471"/>
      <c r="AA182" s="471"/>
      <c r="AB182" s="457"/>
      <c r="AC182" s="457"/>
      <c r="AD182" s="457"/>
      <c r="AE182" s="457"/>
      <c r="AF182" s="457"/>
      <c r="AG182" s="472"/>
      <c r="AH182" s="457"/>
      <c r="AI182" s="457"/>
      <c r="AJ182" s="457"/>
      <c r="AK182" s="457"/>
      <c r="AL182" s="457"/>
      <c r="AM182" s="457"/>
      <c r="AN182" s="457"/>
      <c r="AO182" s="457"/>
      <c r="AP182" s="457"/>
      <c r="AQ182" s="457"/>
      <c r="AR182" s="457"/>
    </row>
    <row r="183" spans="1:44" s="470" customFormat="1" ht="15.75" customHeight="1" x14ac:dyDescent="0.15">
      <c r="A183" s="457"/>
      <c r="B183" s="560"/>
      <c r="C183" s="713" t="s">
        <v>1218</v>
      </c>
      <c r="D183" s="516"/>
      <c r="E183" s="517"/>
      <c r="F183" s="518"/>
      <c r="G183" s="519"/>
      <c r="H183" s="463" t="str">
        <f t="shared" si="194"/>
        <v>※ 특수타일(유도타일,축광타일,문양연출위해 비규칙적 절단 시공되는 이형타일 등) 붙임은 품의 35~50%를 가산한다.</v>
      </c>
      <c r="I183" s="520"/>
      <c r="J183" s="521"/>
      <c r="K183" s="522"/>
      <c r="L183" s="521"/>
      <c r="M183" s="522"/>
      <c r="N183" s="521"/>
      <c r="O183" s="522"/>
      <c r="P183" s="523"/>
      <c r="Q183" s="512"/>
      <c r="R183" s="513"/>
      <c r="S183" s="524"/>
      <c r="T183" s="470" t="str">
        <f t="shared" si="170"/>
        <v/>
      </c>
      <c r="V183" s="551"/>
      <c r="W183" s="471">
        <f t="shared" ref="W183:X183" si="210">W182</f>
        <v>7</v>
      </c>
      <c r="X183" s="471" t="e">
        <f t="shared" si="210"/>
        <v>#REF!</v>
      </c>
      <c r="Y183" s="471" t="e">
        <f t="shared" si="172"/>
        <v>#REF!</v>
      </c>
      <c r="Z183" s="471"/>
      <c r="AA183" s="471"/>
      <c r="AG183" s="511"/>
    </row>
    <row r="184" spans="1:44" s="470" customFormat="1" ht="15.75" customHeight="1" x14ac:dyDescent="0.15">
      <c r="A184" s="457"/>
      <c r="B184" s="457"/>
      <c r="C184" s="458"/>
      <c r="D184" s="459"/>
      <c r="E184" s="460"/>
      <c r="F184" s="461"/>
      <c r="G184" s="462"/>
      <c r="H184" s="463" t="str">
        <f t="shared" ref="H184:H209" si="211">CONCATENATE(C184,E184,F184)</f>
        <v/>
      </c>
      <c r="I184" s="464"/>
      <c r="J184" s="465"/>
      <c r="K184" s="465"/>
      <c r="L184" s="465"/>
      <c r="M184" s="465"/>
      <c r="N184" s="465"/>
      <c r="O184" s="487"/>
      <c r="P184" s="467"/>
      <c r="Q184" s="468"/>
      <c r="R184" s="469"/>
      <c r="S184" s="467"/>
      <c r="T184" s="470" t="str">
        <f t="shared" ref="T184:T209" si="212">CONCATENATE(Q184,R184)</f>
        <v/>
      </c>
      <c r="W184" s="533">
        <f t="shared" ref="W184" si="213">I206</f>
        <v>8</v>
      </c>
      <c r="X184" s="533" t="e">
        <f>#REF!+1</f>
        <v>#REF!</v>
      </c>
      <c r="Y184" s="533" t="e">
        <f t="shared" ref="Y184:Y272" si="214">X184-W184</f>
        <v>#REF!</v>
      </c>
      <c r="Z184" s="533"/>
      <c r="AA184" s="533"/>
    </row>
    <row r="185" spans="1:44" s="457" customFormat="1" ht="15.75" customHeight="1" x14ac:dyDescent="0.15">
      <c r="B185" s="473"/>
      <c r="C185" s="474" t="str">
        <f>"   항목번호 : "&amp;목록!L$13</f>
        <v xml:space="preserve">   항목번호 : 제8호표</v>
      </c>
      <c r="D185" s="475">
        <f>목록!B$13</f>
        <v>8</v>
      </c>
      <c r="E185" s="476"/>
      <c r="F185" s="477"/>
      <c r="G185" s="478"/>
      <c r="H185" s="463" t="str">
        <f t="shared" si="211"/>
        <v xml:space="preserve">   항목번호 : 제8호표</v>
      </c>
      <c r="I185" s="479"/>
      <c r="J185" s="480"/>
      <c r="K185" s="481"/>
      <c r="L185" s="482"/>
      <c r="M185" s="482"/>
      <c r="N185" s="482"/>
      <c r="O185" s="466"/>
      <c r="P185" s="483"/>
      <c r="Q185" s="484"/>
      <c r="R185" s="485"/>
      <c r="S185" s="483"/>
      <c r="T185" s="470" t="str">
        <f t="shared" si="212"/>
        <v/>
      </c>
      <c r="V185" s="547"/>
      <c r="W185" s="471">
        <f t="shared" ref="W185:X185" si="215">W184</f>
        <v>8</v>
      </c>
      <c r="X185" s="471" t="e">
        <f t="shared" si="215"/>
        <v>#REF!</v>
      </c>
      <c r="Y185" s="471" t="e">
        <f t="shared" si="214"/>
        <v>#REF!</v>
      </c>
      <c r="Z185" s="471"/>
      <c r="AA185" s="471"/>
    </row>
    <row r="186" spans="1:44" s="457" customFormat="1" ht="15.75" customHeight="1" x14ac:dyDescent="0.15">
      <c r="B186" s="473"/>
      <c r="C186" s="474" t="str">
        <f>"   공      종 : "&amp;목록!D$13</f>
        <v xml:space="preserve">   공      종 : 각재 벽체틀설치</v>
      </c>
      <c r="D186" s="484"/>
      <c r="E186" s="476"/>
      <c r="F186" s="473"/>
      <c r="G186" s="478"/>
      <c r="H186" s="463" t="str">
        <f t="shared" si="211"/>
        <v xml:space="preserve">   공      종 : 각재 벽체틀설치</v>
      </c>
      <c r="I186" s="479"/>
      <c r="J186" s="480"/>
      <c r="K186" s="481"/>
      <c r="L186" s="482"/>
      <c r="M186" s="482"/>
      <c r="N186" s="482"/>
      <c r="O186" s="466"/>
      <c r="P186" s="483"/>
      <c r="Q186" s="484"/>
      <c r="R186" s="485"/>
      <c r="S186" s="483"/>
      <c r="T186" s="470" t="str">
        <f t="shared" si="212"/>
        <v/>
      </c>
      <c r="V186" s="547"/>
      <c r="W186" s="471">
        <f t="shared" ref="W186:X186" si="216">W185</f>
        <v>8</v>
      </c>
      <c r="X186" s="471" t="e">
        <f t="shared" si="216"/>
        <v>#REF!</v>
      </c>
      <c r="Y186" s="471" t="e">
        <f t="shared" si="214"/>
        <v>#REF!</v>
      </c>
      <c r="Z186" s="471"/>
      <c r="AA186" s="471"/>
    </row>
    <row r="187" spans="1:44" s="457" customFormat="1" ht="15.75" customHeight="1" x14ac:dyDescent="0.15">
      <c r="B187" s="473"/>
      <c r="C187" s="474" t="str">
        <f xml:space="preserve"> "   규      격 : "&amp;목록!F$13</f>
        <v xml:space="preserve">   규      격 : 30x69, @450</v>
      </c>
      <c r="D187" s="484"/>
      <c r="E187" s="476"/>
      <c r="F187" s="473"/>
      <c r="G187" s="478"/>
      <c r="H187" s="463" t="str">
        <f t="shared" si="211"/>
        <v xml:space="preserve">   규      격 : 30x69, @450</v>
      </c>
      <c r="I187" s="479"/>
      <c r="J187" s="480" t="s">
        <v>348</v>
      </c>
      <c r="K187" s="481"/>
      <c r="L187" s="482" t="s">
        <v>349</v>
      </c>
      <c r="M187" s="482"/>
      <c r="N187" s="482" t="s">
        <v>240</v>
      </c>
      <c r="O187" s="466"/>
      <c r="P187" s="483"/>
      <c r="Q187" s="484" t="s">
        <v>787</v>
      </c>
      <c r="R187" s="484"/>
      <c r="S187" s="483"/>
      <c r="T187" s="470" t="str">
        <f t="shared" si="212"/>
        <v>합계</v>
      </c>
      <c r="V187" s="547"/>
      <c r="W187" s="471">
        <f t="shared" ref="W187:X187" si="217">W186</f>
        <v>8</v>
      </c>
      <c r="X187" s="471" t="e">
        <f t="shared" si="217"/>
        <v>#REF!</v>
      </c>
      <c r="Y187" s="471" t="e">
        <f t="shared" si="214"/>
        <v>#REF!</v>
      </c>
      <c r="Z187" s="471"/>
      <c r="AA187" s="471"/>
    </row>
    <row r="188" spans="1:44" s="457" customFormat="1" ht="15.75" customHeight="1" x14ac:dyDescent="0.15">
      <c r="B188" s="473"/>
      <c r="C188" s="474" t="str">
        <f>"   단      위 : "&amp;목록!G$13</f>
        <v xml:space="preserve">   단      위 : ㎡</v>
      </c>
      <c r="D188" s="484"/>
      <c r="E188" s="476"/>
      <c r="F188" s="473"/>
      <c r="G188" s="478"/>
      <c r="H188" s="463" t="str">
        <f t="shared" si="211"/>
        <v xml:space="preserve">   단      위 : ㎡</v>
      </c>
      <c r="I188" s="479"/>
      <c r="J188" s="486">
        <f>K206</f>
        <v>16452</v>
      </c>
      <c r="K188" s="481"/>
      <c r="L188" s="487">
        <f>M206</f>
        <v>5899</v>
      </c>
      <c r="M188" s="482"/>
      <c r="N188" s="482">
        <f>O206</f>
        <v>0</v>
      </c>
      <c r="O188" s="466"/>
      <c r="P188" s="483"/>
      <c r="Q188" s="488">
        <f>J188+L188+N188</f>
        <v>22351</v>
      </c>
      <c r="R188" s="489"/>
      <c r="S188" s="483"/>
      <c r="T188" s="470" t="str">
        <f t="shared" si="212"/>
        <v>22351</v>
      </c>
      <c r="V188" s="547"/>
      <c r="W188" s="471">
        <f t="shared" ref="W188:X188" si="218">W187</f>
        <v>8</v>
      </c>
      <c r="X188" s="471" t="e">
        <f t="shared" si="218"/>
        <v>#REF!</v>
      </c>
      <c r="Y188" s="471" t="e">
        <f t="shared" si="214"/>
        <v>#REF!</v>
      </c>
      <c r="Z188" s="471"/>
      <c r="AA188" s="471"/>
    </row>
    <row r="189" spans="1:44" s="457" customFormat="1" ht="15.75" customHeight="1" x14ac:dyDescent="0.15">
      <c r="B189" s="473"/>
      <c r="C189" s="474"/>
      <c r="D189" s="484"/>
      <c r="E189" s="476"/>
      <c r="F189" s="473"/>
      <c r="G189" s="490"/>
      <c r="H189" s="463" t="str">
        <f t="shared" si="211"/>
        <v/>
      </c>
      <c r="I189" s="491"/>
      <c r="J189" s="482"/>
      <c r="K189" s="465"/>
      <c r="L189" s="482"/>
      <c r="M189" s="482"/>
      <c r="N189" s="482"/>
      <c r="O189" s="466"/>
      <c r="P189" s="492"/>
      <c r="Q189" s="493"/>
      <c r="R189" s="485"/>
      <c r="S189" s="492"/>
      <c r="T189" s="470" t="str">
        <f t="shared" si="212"/>
        <v/>
      </c>
      <c r="V189" s="547"/>
      <c r="W189" s="471">
        <f t="shared" ref="W189:X189" si="219">W188</f>
        <v>8</v>
      </c>
      <c r="X189" s="471" t="e">
        <f t="shared" si="219"/>
        <v>#REF!</v>
      </c>
      <c r="Y189" s="471" t="e">
        <f t="shared" si="214"/>
        <v>#REF!</v>
      </c>
      <c r="Z189" s="471"/>
      <c r="AA189" s="471"/>
    </row>
    <row r="190" spans="1:44" s="457" customFormat="1" ht="15.75" customHeight="1" x14ac:dyDescent="0.15">
      <c r="A190" s="547"/>
      <c r="B190" s="899" t="s">
        <v>375</v>
      </c>
      <c r="C190" s="900"/>
      <c r="D190" s="907" t="s">
        <v>356</v>
      </c>
      <c r="E190" s="908"/>
      <c r="F190" s="903" t="s">
        <v>788</v>
      </c>
      <c r="G190" s="913" t="s">
        <v>789</v>
      </c>
      <c r="H190" s="463" t="str">
        <f t="shared" si="211"/>
        <v>단위</v>
      </c>
      <c r="I190" s="494"/>
      <c r="J190" s="495" t="s">
        <v>348</v>
      </c>
      <c r="K190" s="496"/>
      <c r="L190" s="495" t="s">
        <v>349</v>
      </c>
      <c r="M190" s="496"/>
      <c r="N190" s="497" t="s">
        <v>240</v>
      </c>
      <c r="O190" s="497"/>
      <c r="P190" s="498"/>
      <c r="Q190" s="744" t="s">
        <v>355</v>
      </c>
      <c r="R190" s="744"/>
      <c r="S190" s="499"/>
      <c r="T190" s="470" t="str">
        <f t="shared" si="212"/>
        <v>비  고</v>
      </c>
      <c r="V190" s="548"/>
      <c r="W190" s="471">
        <f t="shared" ref="W190:X190" si="220">W189</f>
        <v>8</v>
      </c>
      <c r="X190" s="471" t="e">
        <f t="shared" si="220"/>
        <v>#REF!</v>
      </c>
      <c r="Y190" s="471" t="e">
        <f t="shared" si="214"/>
        <v>#REF!</v>
      </c>
      <c r="Z190" s="471"/>
      <c r="AA190" s="471"/>
    </row>
    <row r="191" spans="1:44" s="457" customFormat="1" ht="15.75" customHeight="1" x14ac:dyDescent="0.15">
      <c r="A191" s="547"/>
      <c r="B191" s="901"/>
      <c r="C191" s="902"/>
      <c r="D191" s="909"/>
      <c r="E191" s="910"/>
      <c r="F191" s="904"/>
      <c r="G191" s="914"/>
      <c r="H191" s="463" t="str">
        <f t="shared" si="211"/>
        <v/>
      </c>
      <c r="I191" s="500"/>
      <c r="J191" s="501" t="s">
        <v>353</v>
      </c>
      <c r="K191" s="501" t="s">
        <v>354</v>
      </c>
      <c r="L191" s="501" t="s">
        <v>353</v>
      </c>
      <c r="M191" s="502" t="s">
        <v>354</v>
      </c>
      <c r="N191" s="501" t="s">
        <v>353</v>
      </c>
      <c r="O191" s="501" t="s">
        <v>354</v>
      </c>
      <c r="P191" s="503"/>
      <c r="Q191" s="745"/>
      <c r="R191" s="745"/>
      <c r="S191" s="504"/>
      <c r="T191" s="470" t="str">
        <f t="shared" si="212"/>
        <v/>
      </c>
      <c r="V191" s="548"/>
      <c r="W191" s="471">
        <f t="shared" ref="W191:X191" si="221">W190</f>
        <v>8</v>
      </c>
      <c r="X191" s="471" t="e">
        <f t="shared" si="221"/>
        <v>#REF!</v>
      </c>
      <c r="Y191" s="471" t="e">
        <f t="shared" si="214"/>
        <v>#REF!</v>
      </c>
      <c r="Z191" s="471"/>
      <c r="AA191" s="471"/>
    </row>
    <row r="192" spans="1:44" s="457" customFormat="1" ht="15.75" customHeight="1" x14ac:dyDescent="0.15">
      <c r="A192" s="470"/>
      <c r="B192" s="95"/>
      <c r="C192" s="797" t="s">
        <v>1227</v>
      </c>
      <c r="D192" s="798"/>
      <c r="E192" s="827" t="s">
        <v>1228</v>
      </c>
      <c r="F192" s="800" t="s">
        <v>1229</v>
      </c>
      <c r="G192" s="505">
        <f>TRUNC((((2.8*8+3.2*7)/(2.8*3.2))+((8*7)/(2.8*3.2))*0.15)*(0.03*0.069)/0.00334,4)</f>
        <v>3.6798000000000002</v>
      </c>
      <c r="H192" s="463" t="str">
        <f t="shared" si="211"/>
        <v>라왕각재국산재</v>
      </c>
      <c r="I192" s="451" t="str">
        <f>CONCATENATE(C192,E192,F192)</f>
        <v>라왕각재국산재</v>
      </c>
      <c r="J192" s="506">
        <f>IF(OR($F192="인",$F192=""),"",VLOOKUP($H192,단가!$A:$S,19,FALSE))</f>
        <v>4228</v>
      </c>
      <c r="K192" s="507">
        <f t="shared" ref="K192" si="222">IF(J192="","",TRUNC($G192*J192,0))</f>
        <v>15558</v>
      </c>
      <c r="L192" s="506" t="str">
        <f>IF($F192="인",VLOOKUP($C:$C,노임!$C:$G,4,FALSE),"")</f>
        <v/>
      </c>
      <c r="M192" s="507" t="str">
        <f t="shared" ref="M192" si="223">IF(L192="","",TRUNC($G192*L192,0))</f>
        <v/>
      </c>
      <c r="N192" s="507"/>
      <c r="O192" s="507" t="str">
        <f t="shared" ref="O192" si="224">IF(N192="","",TRUNC($G192*N192,0))</f>
        <v/>
      </c>
      <c r="P192" s="508"/>
      <c r="Q192" s="509" t="str">
        <f>IF(F192="인","노임"&amp;VLOOKUP($C:$C,노임!C:G,5,FALSE)&amp;"번","단가"&amp;VLOOKUP($H:$H,단가!$A:$B,2,FALSE)&amp;"번")</f>
        <v>단가9번</v>
      </c>
      <c r="R192" s="510"/>
      <c r="S192" s="131"/>
      <c r="T192" s="470" t="str">
        <f t="shared" si="212"/>
        <v>단가9번</v>
      </c>
      <c r="V192" s="549"/>
      <c r="W192" s="471">
        <f t="shared" ref="W192:X192" si="225">W191</f>
        <v>8</v>
      </c>
      <c r="X192" s="471" t="e">
        <f t="shared" si="225"/>
        <v>#REF!</v>
      </c>
      <c r="Y192" s="471" t="e">
        <f t="shared" si="214"/>
        <v>#REF!</v>
      </c>
      <c r="Z192" s="471"/>
      <c r="AA192" s="471"/>
    </row>
    <row r="193" spans="1:27" s="599" customFormat="1" ht="15.75" customHeight="1" x14ac:dyDescent="0.15">
      <c r="B193" s="670"/>
      <c r="C193" s="140" t="s">
        <v>572</v>
      </c>
      <c r="D193" s="670"/>
      <c r="E193" s="602" t="s">
        <v>573</v>
      </c>
      <c r="F193" s="207" t="s">
        <v>1017</v>
      </c>
      <c r="G193" s="505">
        <v>1</v>
      </c>
      <c r="H193" s="463" t="str">
        <f t="shared" ref="H193:H198" si="226">CONCATENATE(C193,E193,F193)</f>
        <v>잡재료 및 소모재료주재료비의 5%식</v>
      </c>
      <c r="I193" s="671" t="str">
        <f>CONCATENATE(C193,E193,F193)</f>
        <v>잡재료 및 소모재료주재료비의 5%식</v>
      </c>
      <c r="J193" s="506">
        <f>TRUNC((K192)*5%,0)</f>
        <v>777</v>
      </c>
      <c r="K193" s="507">
        <f t="shared" ref="K193:K196" si="227">IF(J193="","",TRUNC($G193*J193,0))</f>
        <v>777</v>
      </c>
      <c r="L193" s="506" t="str">
        <f>IF($F193="인",VLOOKUP($C:$C,노임!$C:$G,4,FALSE),"")</f>
        <v/>
      </c>
      <c r="M193" s="507" t="str">
        <f t="shared" ref="M193:M196" si="228">IF(L193="","",TRUNC($G193*L193,0))</f>
        <v/>
      </c>
      <c r="N193" s="507"/>
      <c r="O193" s="507" t="str">
        <f t="shared" ref="O193:O196" si="229">IF(N193="","",TRUNC($G193*N193,0))</f>
        <v/>
      </c>
      <c r="P193" s="508"/>
      <c r="Q193" s="509"/>
      <c r="R193" s="510"/>
      <c r="S193" s="131"/>
      <c r="T193" s="599" t="str">
        <f t="shared" ref="T193:T198" si="230">CONCATENATE(Q193,R193)</f>
        <v/>
      </c>
      <c r="V193" s="549"/>
      <c r="W193" s="471">
        <f t="shared" ref="W193:X193" si="231">W192</f>
        <v>8</v>
      </c>
      <c r="X193" s="471" t="e">
        <f t="shared" si="231"/>
        <v>#REF!</v>
      </c>
      <c r="Y193" s="471" t="e">
        <f t="shared" ref="Y193:Y198" si="232">X193-W193</f>
        <v>#REF!</v>
      </c>
      <c r="Z193" s="471"/>
      <c r="AA193" s="471"/>
    </row>
    <row r="194" spans="1:27" s="599" customFormat="1" ht="15.75" customHeight="1" x14ac:dyDescent="0.15">
      <c r="B194" s="670"/>
      <c r="C194" s="140" t="s">
        <v>749</v>
      </c>
      <c r="D194" s="670"/>
      <c r="E194" s="643"/>
      <c r="F194" s="207" t="s">
        <v>750</v>
      </c>
      <c r="G194" s="801">
        <v>3.3000000000000002E-2</v>
      </c>
      <c r="H194" s="463" t="str">
        <f t="shared" si="226"/>
        <v>건축목공인</v>
      </c>
      <c r="I194" s="671" t="str">
        <f>CONCATENATE(C194,E194,F194)</f>
        <v>건축목공인</v>
      </c>
      <c r="J194" s="506" t="str">
        <f>IF(OR($F194="인",$F194=""),"",VLOOKUP($H194,단가!$A:$S,19,FALSE))</f>
        <v/>
      </c>
      <c r="K194" s="507" t="str">
        <f t="shared" si="227"/>
        <v/>
      </c>
      <c r="L194" s="506">
        <f>IF($F194="인",VLOOKUP($C:$C,노임!$C:$G,4,FALSE),"")</f>
        <v>169062</v>
      </c>
      <c r="M194" s="507">
        <f t="shared" si="228"/>
        <v>5579</v>
      </c>
      <c r="N194" s="507"/>
      <c r="O194" s="507" t="str">
        <f t="shared" si="229"/>
        <v/>
      </c>
      <c r="P194" s="508"/>
      <c r="Q194" s="509" t="str">
        <f>IF(F194="인","노임"&amp;VLOOKUP($C:$C,노임!C:G,5,FALSE)&amp;"번","단가"&amp;VLOOKUP($H:$H,단가!$A:$B,2,FALSE)&amp;"번")</f>
        <v>노임1023번</v>
      </c>
      <c r="R194" s="510"/>
      <c r="S194" s="131"/>
      <c r="T194" s="599" t="str">
        <f t="shared" si="230"/>
        <v>노임1023번</v>
      </c>
      <c r="V194" s="549"/>
      <c r="W194" s="471">
        <f t="shared" ref="W194:X194" si="233">W193</f>
        <v>8</v>
      </c>
      <c r="X194" s="471" t="e">
        <f t="shared" si="233"/>
        <v>#REF!</v>
      </c>
      <c r="Y194" s="471" t="e">
        <f t="shared" si="232"/>
        <v>#REF!</v>
      </c>
      <c r="Z194" s="471"/>
      <c r="AA194" s="471"/>
    </row>
    <row r="195" spans="1:27" s="599" customFormat="1" ht="15.75" customHeight="1" x14ac:dyDescent="0.15">
      <c r="B195" s="670"/>
      <c r="C195" s="140" t="s">
        <v>767</v>
      </c>
      <c r="D195" s="670"/>
      <c r="E195" s="643"/>
      <c r="F195" s="207" t="s">
        <v>750</v>
      </c>
      <c r="G195" s="801">
        <v>3.0000000000000001E-3</v>
      </c>
      <c r="H195" s="463" t="str">
        <f t="shared" si="226"/>
        <v>보통인부인</v>
      </c>
      <c r="I195" s="671" t="str">
        <f>CONCATENATE(C195,E195,F195)</f>
        <v>보통인부인</v>
      </c>
      <c r="J195" s="506" t="str">
        <f>IF(OR($F195="인",$F195=""),"",VLOOKUP($H195,단가!$A:$S,19,FALSE))</f>
        <v/>
      </c>
      <c r="K195" s="507" t="str">
        <f t="shared" si="227"/>
        <v/>
      </c>
      <c r="L195" s="506">
        <f>IF($F195="인",VLOOKUP($C:$C,노임!$C:$G,4,FALSE),"")</f>
        <v>106846</v>
      </c>
      <c r="M195" s="507">
        <f t="shared" si="228"/>
        <v>320</v>
      </c>
      <c r="N195" s="507"/>
      <c r="O195" s="507" t="str">
        <f t="shared" si="229"/>
        <v/>
      </c>
      <c r="P195" s="508"/>
      <c r="Q195" s="509" t="str">
        <f>IF(F195="인","노임"&amp;VLOOKUP($C:$C,노임!C:G,5,FALSE)&amp;"번","단가"&amp;VLOOKUP($H:$H,단가!$A:$B,2,FALSE)&amp;"번")</f>
        <v>노임1002번</v>
      </c>
      <c r="R195" s="510"/>
      <c r="S195" s="131"/>
      <c r="T195" s="599" t="str">
        <f t="shared" si="230"/>
        <v>노임1002번</v>
      </c>
      <c r="V195" s="549"/>
      <c r="W195" s="471">
        <f t="shared" ref="W195:X195" si="234">W194</f>
        <v>8</v>
      </c>
      <c r="X195" s="471" t="e">
        <f t="shared" si="234"/>
        <v>#REF!</v>
      </c>
      <c r="Y195" s="471" t="e">
        <f t="shared" si="232"/>
        <v>#REF!</v>
      </c>
      <c r="Z195" s="471"/>
      <c r="AA195" s="471"/>
    </row>
    <row r="196" spans="1:27" s="473" customFormat="1" ht="15.75" customHeight="1" x14ac:dyDescent="0.15">
      <c r="A196" s="599"/>
      <c r="B196" s="670"/>
      <c r="C196" s="140" t="s">
        <v>766</v>
      </c>
      <c r="D196" s="670"/>
      <c r="E196" s="643" t="s">
        <v>518</v>
      </c>
      <c r="F196" s="207" t="s">
        <v>777</v>
      </c>
      <c r="G196" s="801">
        <v>1</v>
      </c>
      <c r="H196" s="463" t="str">
        <f t="shared" si="226"/>
        <v>공구손료인력품의 2%식</v>
      </c>
      <c r="I196" s="671"/>
      <c r="J196" s="506">
        <f>TRUNC((M194+M195)*2%,0)</f>
        <v>117</v>
      </c>
      <c r="K196" s="507">
        <f t="shared" si="227"/>
        <v>117</v>
      </c>
      <c r="L196" s="506"/>
      <c r="M196" s="507" t="str">
        <f t="shared" si="228"/>
        <v/>
      </c>
      <c r="N196" s="507"/>
      <c r="O196" s="507" t="str">
        <f t="shared" si="229"/>
        <v/>
      </c>
      <c r="P196" s="508"/>
      <c r="Q196" s="512"/>
      <c r="R196" s="534"/>
      <c r="S196" s="131"/>
      <c r="T196" s="599" t="str">
        <f t="shared" si="230"/>
        <v/>
      </c>
      <c r="V196" s="549"/>
      <c r="W196" s="471">
        <f t="shared" ref="W196:X196" si="235">W195</f>
        <v>8</v>
      </c>
      <c r="X196" s="471" t="e">
        <f t="shared" si="235"/>
        <v>#REF!</v>
      </c>
      <c r="Y196" s="471" t="e">
        <f t="shared" si="232"/>
        <v>#REF!</v>
      </c>
      <c r="Z196" s="471"/>
      <c r="AA196" s="471"/>
    </row>
    <row r="197" spans="1:27" s="599" customFormat="1" ht="15.75" customHeight="1" x14ac:dyDescent="0.15">
      <c r="B197" s="670"/>
      <c r="C197" s="140"/>
      <c r="D197" s="670"/>
      <c r="E197" s="643"/>
      <c r="F197" s="207"/>
      <c r="G197" s="801"/>
      <c r="H197" s="463" t="str">
        <f t="shared" si="226"/>
        <v/>
      </c>
      <c r="I197" s="671"/>
      <c r="J197" s="506"/>
      <c r="K197" s="507"/>
      <c r="L197" s="506"/>
      <c r="M197" s="507"/>
      <c r="N197" s="507"/>
      <c r="O197" s="507"/>
      <c r="P197" s="508"/>
      <c r="Q197" s="512"/>
      <c r="R197" s="513"/>
      <c r="S197" s="131"/>
      <c r="T197" s="599" t="str">
        <f t="shared" si="230"/>
        <v/>
      </c>
      <c r="V197" s="549"/>
      <c r="W197" s="471">
        <f t="shared" ref="W197:X197" si="236">W196</f>
        <v>8</v>
      </c>
      <c r="X197" s="471" t="e">
        <f t="shared" si="236"/>
        <v>#REF!</v>
      </c>
      <c r="Y197" s="471" t="e">
        <f t="shared" si="232"/>
        <v>#REF!</v>
      </c>
      <c r="Z197" s="471"/>
      <c r="AA197" s="471"/>
    </row>
    <row r="198" spans="1:27" s="599" customFormat="1" ht="15.75" customHeight="1" x14ac:dyDescent="0.15">
      <c r="B198" s="670"/>
      <c r="C198" s="140"/>
      <c r="D198" s="670"/>
      <c r="E198" s="643"/>
      <c r="F198" s="207"/>
      <c r="G198" s="801"/>
      <c r="H198" s="463" t="str">
        <f t="shared" si="226"/>
        <v/>
      </c>
      <c r="I198" s="671"/>
      <c r="J198" s="506"/>
      <c r="K198" s="507"/>
      <c r="L198" s="506"/>
      <c r="M198" s="507"/>
      <c r="N198" s="507"/>
      <c r="O198" s="507"/>
      <c r="P198" s="508"/>
      <c r="Q198" s="512"/>
      <c r="R198" s="513"/>
      <c r="S198" s="131"/>
      <c r="T198" s="599" t="str">
        <f t="shared" si="230"/>
        <v/>
      </c>
      <c r="V198" s="549"/>
      <c r="W198" s="471">
        <f t="shared" ref="W198:X198" si="237">W197</f>
        <v>8</v>
      </c>
      <c r="X198" s="471" t="e">
        <f t="shared" si="237"/>
        <v>#REF!</v>
      </c>
      <c r="Y198" s="471" t="e">
        <f t="shared" si="232"/>
        <v>#REF!</v>
      </c>
      <c r="Z198" s="471"/>
      <c r="AA198" s="471"/>
    </row>
    <row r="199" spans="1:27" s="470" customFormat="1" ht="15.75" customHeight="1" x14ac:dyDescent="0.15">
      <c r="B199" s="95"/>
      <c r="C199" s="140"/>
      <c r="D199" s="95"/>
      <c r="E199" s="141"/>
      <c r="F199" s="94"/>
      <c r="G199" s="505"/>
      <c r="H199" s="463" t="str">
        <f t="shared" si="211"/>
        <v/>
      </c>
      <c r="I199" s="451"/>
      <c r="J199" s="506"/>
      <c r="K199" s="507"/>
      <c r="L199" s="506"/>
      <c r="M199" s="507"/>
      <c r="N199" s="507"/>
      <c r="O199" s="507"/>
      <c r="P199" s="508"/>
      <c r="Q199" s="512"/>
      <c r="R199" s="513"/>
      <c r="S199" s="131"/>
      <c r="T199" s="470" t="str">
        <f t="shared" si="212"/>
        <v/>
      </c>
      <c r="V199" s="549"/>
      <c r="W199" s="471">
        <f t="shared" ref="W199:X199" si="238">W198</f>
        <v>8</v>
      </c>
      <c r="X199" s="471" t="e">
        <f t="shared" si="238"/>
        <v>#REF!</v>
      </c>
      <c r="Y199" s="471" t="e">
        <f t="shared" si="214"/>
        <v>#REF!</v>
      </c>
      <c r="Z199" s="471"/>
      <c r="AA199" s="471"/>
    </row>
    <row r="200" spans="1:27" s="470" customFormat="1" ht="15.75" customHeight="1" x14ac:dyDescent="0.15">
      <c r="B200" s="95"/>
      <c r="C200" s="140"/>
      <c r="D200" s="95"/>
      <c r="E200" s="141"/>
      <c r="F200" s="94"/>
      <c r="G200" s="505"/>
      <c r="H200" s="463" t="str">
        <f t="shared" si="211"/>
        <v/>
      </c>
      <c r="I200" s="451"/>
      <c r="J200" s="506"/>
      <c r="K200" s="507"/>
      <c r="L200" s="506"/>
      <c r="M200" s="507"/>
      <c r="N200" s="507"/>
      <c r="O200" s="507"/>
      <c r="P200" s="508"/>
      <c r="Q200" s="512"/>
      <c r="R200" s="513"/>
      <c r="S200" s="131"/>
      <c r="T200" s="470" t="str">
        <f t="shared" si="212"/>
        <v/>
      </c>
      <c r="V200" s="549"/>
      <c r="W200" s="471">
        <f t="shared" ref="W200:X200" si="239">W199</f>
        <v>8</v>
      </c>
      <c r="X200" s="471" t="e">
        <f t="shared" si="239"/>
        <v>#REF!</v>
      </c>
      <c r="Y200" s="471" t="e">
        <f t="shared" si="214"/>
        <v>#REF!</v>
      </c>
      <c r="Z200" s="471"/>
      <c r="AA200" s="471"/>
    </row>
    <row r="201" spans="1:27" s="470" customFormat="1" ht="15.75" customHeight="1" x14ac:dyDescent="0.15">
      <c r="B201" s="95"/>
      <c r="C201" s="140"/>
      <c r="D201" s="95"/>
      <c r="E201" s="141"/>
      <c r="F201" s="94"/>
      <c r="G201" s="505"/>
      <c r="H201" s="463" t="str">
        <f t="shared" si="211"/>
        <v/>
      </c>
      <c r="I201" s="451"/>
      <c r="J201" s="506"/>
      <c r="K201" s="507"/>
      <c r="L201" s="506"/>
      <c r="M201" s="507"/>
      <c r="N201" s="507"/>
      <c r="O201" s="507"/>
      <c r="P201" s="508"/>
      <c r="Q201" s="512"/>
      <c r="R201" s="513"/>
      <c r="S201" s="131"/>
      <c r="T201" s="470" t="str">
        <f t="shared" si="212"/>
        <v/>
      </c>
      <c r="V201" s="549"/>
      <c r="W201" s="471">
        <f t="shared" ref="W201:X201" si="240">W200</f>
        <v>8</v>
      </c>
      <c r="X201" s="471" t="e">
        <f t="shared" si="240"/>
        <v>#REF!</v>
      </c>
      <c r="Y201" s="471" t="e">
        <f t="shared" si="214"/>
        <v>#REF!</v>
      </c>
      <c r="Z201" s="471"/>
      <c r="AA201" s="471"/>
    </row>
    <row r="202" spans="1:27" s="470" customFormat="1" ht="15.75" customHeight="1" x14ac:dyDescent="0.15">
      <c r="B202" s="95"/>
      <c r="C202" s="562"/>
      <c r="D202" s="95"/>
      <c r="E202" s="141"/>
      <c r="F202" s="94"/>
      <c r="G202" s="505"/>
      <c r="H202" s="463" t="str">
        <f t="shared" si="211"/>
        <v/>
      </c>
      <c r="I202" s="451"/>
      <c r="J202" s="506"/>
      <c r="K202" s="507"/>
      <c r="L202" s="506"/>
      <c r="M202" s="507"/>
      <c r="N202" s="507"/>
      <c r="O202" s="507"/>
      <c r="P202" s="508"/>
      <c r="Q202" s="512"/>
      <c r="R202" s="513"/>
      <c r="S202" s="131"/>
      <c r="T202" s="470" t="str">
        <f t="shared" si="212"/>
        <v/>
      </c>
      <c r="V202" s="549"/>
      <c r="W202" s="471">
        <f t="shared" ref="W202:X202" si="241">W201</f>
        <v>8</v>
      </c>
      <c r="X202" s="471" t="e">
        <f t="shared" si="241"/>
        <v>#REF!</v>
      </c>
      <c r="Y202" s="471" t="e">
        <f t="shared" si="214"/>
        <v>#REF!</v>
      </c>
      <c r="Z202" s="471"/>
      <c r="AA202" s="471"/>
    </row>
    <row r="203" spans="1:27" s="470" customFormat="1" ht="15.75" customHeight="1" x14ac:dyDescent="0.15">
      <c r="B203" s="95"/>
      <c r="C203" s="140"/>
      <c r="D203" s="95"/>
      <c r="E203" s="141"/>
      <c r="F203" s="94"/>
      <c r="G203" s="505"/>
      <c r="H203" s="463" t="str">
        <f t="shared" si="211"/>
        <v/>
      </c>
      <c r="I203" s="451"/>
      <c r="J203" s="506"/>
      <c r="K203" s="507"/>
      <c r="L203" s="506"/>
      <c r="M203" s="507"/>
      <c r="N203" s="507"/>
      <c r="O203" s="507"/>
      <c r="P203" s="508"/>
      <c r="Q203" s="512"/>
      <c r="R203" s="513"/>
      <c r="S203" s="131"/>
      <c r="T203" s="470" t="str">
        <f t="shared" si="212"/>
        <v/>
      </c>
      <c r="V203" s="549"/>
      <c r="W203" s="471">
        <f t="shared" ref="W203:X203" si="242">W202</f>
        <v>8</v>
      </c>
      <c r="X203" s="471" t="e">
        <f t="shared" si="242"/>
        <v>#REF!</v>
      </c>
      <c r="Y203" s="471" t="e">
        <f t="shared" si="214"/>
        <v>#REF!</v>
      </c>
      <c r="Z203" s="471"/>
      <c r="AA203" s="471"/>
    </row>
    <row r="204" spans="1:27" s="470" customFormat="1" ht="15.75" customHeight="1" x14ac:dyDescent="0.15">
      <c r="B204" s="95"/>
      <c r="C204" s="562" t="s">
        <v>1231</v>
      </c>
      <c r="D204" s="95"/>
      <c r="E204" s="141"/>
      <c r="F204" s="94"/>
      <c r="G204" s="505"/>
      <c r="H204" s="463" t="str">
        <f t="shared" si="211"/>
        <v>- 각재소요량 : (((2.8*8+3.2*7)/(2.8*3.2))+((8*7)/(2.8*3.2))*0.15)*(0.03*0.069)/0.00334</v>
      </c>
      <c r="I204" s="451"/>
      <c r="J204" s="506"/>
      <c r="K204" s="507"/>
      <c r="L204" s="506"/>
      <c r="M204" s="507"/>
      <c r="N204" s="507"/>
      <c r="O204" s="507"/>
      <c r="P204" s="508"/>
      <c r="Q204" s="512"/>
      <c r="R204" s="513"/>
      <c r="S204" s="131"/>
      <c r="T204" s="470" t="str">
        <f t="shared" si="212"/>
        <v/>
      </c>
      <c r="V204" s="549"/>
      <c r="W204" s="471">
        <f t="shared" ref="W204:X204" si="243">W203</f>
        <v>8</v>
      </c>
      <c r="X204" s="471" t="e">
        <f t="shared" si="243"/>
        <v>#REF!</v>
      </c>
      <c r="Y204" s="471" t="e">
        <f t="shared" si="214"/>
        <v>#REF!</v>
      </c>
      <c r="Z204" s="471"/>
      <c r="AA204" s="471"/>
    </row>
    <row r="205" spans="1:27" s="470" customFormat="1" ht="15.75" customHeight="1" x14ac:dyDescent="0.15">
      <c r="B205" s="95"/>
      <c r="C205" s="140"/>
      <c r="D205" s="95"/>
      <c r="E205" s="141"/>
      <c r="F205" s="94"/>
      <c r="G205" s="505"/>
      <c r="H205" s="463" t="str">
        <f t="shared" si="211"/>
        <v/>
      </c>
      <c r="I205" s="451"/>
      <c r="J205" s="506"/>
      <c r="K205" s="507"/>
      <c r="L205" s="506"/>
      <c r="M205" s="507"/>
      <c r="N205" s="507"/>
      <c r="O205" s="507"/>
      <c r="P205" s="508"/>
      <c r="Q205" s="512"/>
      <c r="R205" s="513"/>
      <c r="S205" s="131"/>
      <c r="T205" s="470" t="str">
        <f t="shared" si="212"/>
        <v/>
      </c>
      <c r="V205" s="549"/>
      <c r="W205" s="471">
        <f t="shared" ref="W205:X205" si="244">W204</f>
        <v>8</v>
      </c>
      <c r="X205" s="471" t="e">
        <f t="shared" si="244"/>
        <v>#REF!</v>
      </c>
      <c r="Y205" s="471" t="e">
        <f t="shared" si="214"/>
        <v>#REF!</v>
      </c>
      <c r="Z205" s="471"/>
      <c r="AA205" s="471"/>
    </row>
    <row r="206" spans="1:27" s="470" customFormat="1" ht="15.75" customHeight="1" x14ac:dyDescent="0.15">
      <c r="A206" s="457"/>
      <c r="B206" s="514" t="s">
        <v>751</v>
      </c>
      <c r="C206" s="515"/>
      <c r="D206" s="516"/>
      <c r="E206" s="517"/>
      <c r="F206" s="518"/>
      <c r="G206" s="519"/>
      <c r="H206" s="463" t="str">
        <f t="shared" si="211"/>
        <v/>
      </c>
      <c r="I206" s="520">
        <f>목록!$B$13</f>
        <v>8</v>
      </c>
      <c r="J206" s="521"/>
      <c r="K206" s="522">
        <f>SUM(K192:K205)</f>
        <v>16452</v>
      </c>
      <c r="L206" s="521"/>
      <c r="M206" s="522">
        <f>SUM(M192:M205)</f>
        <v>5899</v>
      </c>
      <c r="N206" s="521"/>
      <c r="O206" s="522">
        <f>SUM(O192:O205)</f>
        <v>0</v>
      </c>
      <c r="P206" s="523"/>
      <c r="Q206" s="512"/>
      <c r="R206" s="513"/>
      <c r="S206" s="524"/>
      <c r="T206" s="470" t="str">
        <f t="shared" si="212"/>
        <v/>
      </c>
      <c r="V206" s="551"/>
      <c r="W206" s="471">
        <f t="shared" ref="W206:X206" si="245">W205</f>
        <v>8</v>
      </c>
      <c r="X206" s="471" t="e">
        <f t="shared" si="245"/>
        <v>#REF!</v>
      </c>
      <c r="Y206" s="471" t="e">
        <f t="shared" si="214"/>
        <v>#REF!</v>
      </c>
      <c r="Z206" s="471"/>
      <c r="AA206" s="471"/>
    </row>
    <row r="207" spans="1:27" s="470" customFormat="1" ht="15.75" customHeight="1" x14ac:dyDescent="0.15">
      <c r="B207" s="453"/>
      <c r="C207" s="802" t="s">
        <v>1230</v>
      </c>
      <c r="D207" s="95"/>
      <c r="E207" s="141"/>
      <c r="F207" s="94"/>
      <c r="G207" s="505"/>
      <c r="H207" s="463" t="str">
        <f t="shared" si="211"/>
        <v>※ 건축표준품셈 11-1-3 건축물 내부목공사 / 1.벽체틀 / 1재=12자 * 1치 *1치 = 0.00334㎥ = 3.636m * 0.0303m * 0.0303</v>
      </c>
      <c r="I207" s="451"/>
      <c r="J207" s="506"/>
      <c r="K207" s="507"/>
      <c r="L207" s="506"/>
      <c r="M207" s="507"/>
      <c r="N207" s="507"/>
      <c r="O207" s="507"/>
      <c r="P207" s="508"/>
      <c r="Q207" s="512"/>
      <c r="R207" s="513"/>
      <c r="S207" s="131"/>
      <c r="T207" s="470" t="str">
        <f t="shared" si="212"/>
        <v/>
      </c>
      <c r="W207" s="615">
        <f t="shared" ref="W207:X207" si="246">W206</f>
        <v>8</v>
      </c>
      <c r="X207" s="471" t="e">
        <f t="shared" si="246"/>
        <v>#REF!</v>
      </c>
      <c r="Y207" s="471" t="e">
        <f t="shared" si="214"/>
        <v>#REF!</v>
      </c>
      <c r="Z207" s="471"/>
      <c r="AA207" s="471"/>
    </row>
    <row r="208" spans="1:27" s="457" customFormat="1" ht="15.75" customHeight="1" x14ac:dyDescent="0.15">
      <c r="A208" s="470"/>
      <c r="B208" s="453"/>
      <c r="C208" s="209"/>
      <c r="D208" s="95"/>
      <c r="E208" s="141"/>
      <c r="F208" s="94"/>
      <c r="G208" s="505"/>
      <c r="H208" s="463" t="str">
        <f t="shared" si="211"/>
        <v/>
      </c>
      <c r="I208" s="451"/>
      <c r="J208" s="506"/>
      <c r="K208" s="507"/>
      <c r="L208" s="506"/>
      <c r="M208" s="507"/>
      <c r="N208" s="507"/>
      <c r="O208" s="507"/>
      <c r="P208" s="508"/>
      <c r="Q208" s="512"/>
      <c r="R208" s="513"/>
      <c r="S208" s="131"/>
      <c r="T208" s="470" t="str">
        <f t="shared" si="212"/>
        <v/>
      </c>
      <c r="V208" s="470"/>
      <c r="W208" s="471">
        <f t="shared" ref="W208:X208" si="247">W207</f>
        <v>8</v>
      </c>
      <c r="X208" s="471" t="e">
        <f t="shared" si="247"/>
        <v>#REF!</v>
      </c>
      <c r="Y208" s="471" t="e">
        <f t="shared" si="214"/>
        <v>#REF!</v>
      </c>
      <c r="Z208" s="471"/>
      <c r="AA208" s="471"/>
    </row>
    <row r="209" spans="1:27" s="470" customFormat="1" ht="15.75" customHeight="1" x14ac:dyDescent="0.15">
      <c r="A209" s="457"/>
      <c r="B209" s="514"/>
      <c r="C209" s="515"/>
      <c r="D209" s="516"/>
      <c r="E209" s="517"/>
      <c r="F209" s="518"/>
      <c r="G209" s="519"/>
      <c r="H209" s="463" t="str">
        <f t="shared" si="211"/>
        <v/>
      </c>
      <c r="I209" s="520"/>
      <c r="J209" s="521"/>
      <c r="K209" s="522"/>
      <c r="L209" s="521"/>
      <c r="M209" s="522"/>
      <c r="N209" s="521"/>
      <c r="O209" s="522"/>
      <c r="P209" s="523"/>
      <c r="Q209" s="512"/>
      <c r="R209" s="513"/>
      <c r="S209" s="524"/>
      <c r="T209" s="470" t="str">
        <f t="shared" si="212"/>
        <v/>
      </c>
      <c r="V209" s="551"/>
      <c r="W209" s="471">
        <f t="shared" ref="W209:X209" si="248">W208</f>
        <v>8</v>
      </c>
      <c r="X209" s="471" t="e">
        <f t="shared" si="248"/>
        <v>#REF!</v>
      </c>
      <c r="Y209" s="471" t="e">
        <f t="shared" si="214"/>
        <v>#REF!</v>
      </c>
      <c r="Z209" s="471"/>
      <c r="AA209" s="471"/>
    </row>
    <row r="210" spans="1:27" s="470" customFormat="1" ht="15.75" customHeight="1" x14ac:dyDescent="0.15">
      <c r="A210" s="457"/>
      <c r="B210" s="457"/>
      <c r="C210" s="458"/>
      <c r="D210" s="459"/>
      <c r="E210" s="460"/>
      <c r="F210" s="461"/>
      <c r="G210" s="462"/>
      <c r="H210" s="463" t="str">
        <f t="shared" ref="H210:H235" si="249">CONCATENATE(C210,E210,F210)</f>
        <v/>
      </c>
      <c r="I210" s="464"/>
      <c r="J210" s="465"/>
      <c r="K210" s="465"/>
      <c r="L210" s="465"/>
      <c r="M210" s="465"/>
      <c r="N210" s="465"/>
      <c r="O210" s="466"/>
      <c r="P210" s="467"/>
      <c r="Q210" s="468"/>
      <c r="R210" s="469"/>
      <c r="S210" s="467"/>
      <c r="T210" s="470" t="str">
        <f t="shared" ref="T210:T235" si="250">CONCATENATE(Q210,R210)</f>
        <v/>
      </c>
      <c r="W210" s="533">
        <f t="shared" ref="W210" si="251">I232</f>
        <v>9</v>
      </c>
      <c r="X210" s="533" t="e">
        <f t="shared" ref="X210" si="252">X209+1</f>
        <v>#REF!</v>
      </c>
      <c r="Y210" s="533" t="e">
        <f t="shared" si="214"/>
        <v>#REF!</v>
      </c>
      <c r="Z210" s="533"/>
      <c r="AA210" s="533"/>
    </row>
    <row r="211" spans="1:27" s="457" customFormat="1" ht="15.75" customHeight="1" x14ac:dyDescent="0.15">
      <c r="B211" s="473"/>
      <c r="C211" s="474" t="str">
        <f>"   항목번호 : "&amp;목록!L$14</f>
        <v xml:space="preserve">   항목번호 : 제9호표</v>
      </c>
      <c r="D211" s="475">
        <f>목록!B$14</f>
        <v>9</v>
      </c>
      <c r="E211" s="476"/>
      <c r="F211" s="477"/>
      <c r="G211" s="478"/>
      <c r="H211" s="463" t="str">
        <f t="shared" si="249"/>
        <v xml:space="preserve">   항목번호 : 제9호표</v>
      </c>
      <c r="I211" s="479"/>
      <c r="J211" s="480"/>
      <c r="K211" s="481"/>
      <c r="L211" s="482"/>
      <c r="M211" s="482"/>
      <c r="N211" s="482"/>
      <c r="O211" s="466"/>
      <c r="P211" s="483"/>
      <c r="Q211" s="484"/>
      <c r="R211" s="485"/>
      <c r="S211" s="483"/>
      <c r="T211" s="470" t="str">
        <f t="shared" si="250"/>
        <v/>
      </c>
      <c r="V211" s="547"/>
      <c r="W211" s="471">
        <f t="shared" ref="W211:X211" si="253">W210</f>
        <v>9</v>
      </c>
      <c r="X211" s="471" t="e">
        <f t="shared" si="253"/>
        <v>#REF!</v>
      </c>
      <c r="Y211" s="471" t="e">
        <f t="shared" si="214"/>
        <v>#REF!</v>
      </c>
      <c r="Z211" s="471"/>
      <c r="AA211" s="471"/>
    </row>
    <row r="212" spans="1:27" s="457" customFormat="1" ht="15.75" customHeight="1" x14ac:dyDescent="0.15">
      <c r="B212" s="473"/>
      <c r="C212" s="474" t="str">
        <f>"   공      종 : "&amp;목록!D$14</f>
        <v xml:space="preserve">   공      종 : 각재 벽체틀설치</v>
      </c>
      <c r="D212" s="484"/>
      <c r="E212" s="476"/>
      <c r="F212" s="473"/>
      <c r="G212" s="478"/>
      <c r="H212" s="463" t="str">
        <f t="shared" si="249"/>
        <v xml:space="preserve">   공      종 : 각재 벽체틀설치</v>
      </c>
      <c r="I212" s="479"/>
      <c r="J212" s="480"/>
      <c r="K212" s="481"/>
      <c r="L212" s="482"/>
      <c r="M212" s="482"/>
      <c r="N212" s="482"/>
      <c r="O212" s="466"/>
      <c r="P212" s="483"/>
      <c r="Q212" s="484"/>
      <c r="R212" s="485"/>
      <c r="S212" s="483"/>
      <c r="T212" s="470" t="str">
        <f t="shared" si="250"/>
        <v/>
      </c>
      <c r="V212" s="547"/>
      <c r="W212" s="471">
        <f t="shared" ref="W212:X212" si="254">W211</f>
        <v>9</v>
      </c>
      <c r="X212" s="471" t="e">
        <f t="shared" si="254"/>
        <v>#REF!</v>
      </c>
      <c r="Y212" s="471" t="e">
        <f t="shared" si="214"/>
        <v>#REF!</v>
      </c>
      <c r="Z212" s="471"/>
      <c r="AA212" s="471"/>
    </row>
    <row r="213" spans="1:27" s="457" customFormat="1" ht="15.75" customHeight="1" x14ac:dyDescent="0.15">
      <c r="B213" s="473"/>
      <c r="C213" s="474" t="str">
        <f xml:space="preserve"> "   규      격 : "&amp;목록!F$14</f>
        <v xml:space="preserve">   규      격 : 30x30, @450</v>
      </c>
      <c r="D213" s="484"/>
      <c r="E213" s="476"/>
      <c r="F213" s="473"/>
      <c r="G213" s="478"/>
      <c r="H213" s="463" t="str">
        <f t="shared" si="249"/>
        <v xml:space="preserve">   규      격 : 30x30, @450</v>
      </c>
      <c r="I213" s="479"/>
      <c r="J213" s="480" t="s">
        <v>348</v>
      </c>
      <c r="K213" s="481"/>
      <c r="L213" s="482" t="s">
        <v>349</v>
      </c>
      <c r="M213" s="482"/>
      <c r="N213" s="482" t="s">
        <v>240</v>
      </c>
      <c r="O213" s="466"/>
      <c r="P213" s="483"/>
      <c r="Q213" s="484" t="s">
        <v>805</v>
      </c>
      <c r="R213" s="484"/>
      <c r="S213" s="483"/>
      <c r="T213" s="470" t="str">
        <f t="shared" si="250"/>
        <v>합계</v>
      </c>
      <c r="V213" s="547"/>
      <c r="W213" s="471">
        <f t="shared" ref="W213:X213" si="255">W212</f>
        <v>9</v>
      </c>
      <c r="X213" s="471" t="e">
        <f t="shared" si="255"/>
        <v>#REF!</v>
      </c>
      <c r="Y213" s="471" t="e">
        <f t="shared" si="214"/>
        <v>#REF!</v>
      </c>
      <c r="Z213" s="471"/>
      <c r="AA213" s="471"/>
    </row>
    <row r="214" spans="1:27" s="457" customFormat="1" ht="15.75" customHeight="1" x14ac:dyDescent="0.15">
      <c r="B214" s="473"/>
      <c r="C214" s="474" t="str">
        <f>"   단      위 : "&amp;목록!G$14</f>
        <v xml:space="preserve">   단      위 : ㎡</v>
      </c>
      <c r="D214" s="484"/>
      <c r="E214" s="476"/>
      <c r="F214" s="473"/>
      <c r="G214" s="478"/>
      <c r="H214" s="463" t="str">
        <f t="shared" si="249"/>
        <v xml:space="preserve">   단      위 : ㎡</v>
      </c>
      <c r="I214" s="479"/>
      <c r="J214" s="486">
        <f>K232</f>
        <v>7219</v>
      </c>
      <c r="K214" s="481"/>
      <c r="L214" s="487">
        <f>M232</f>
        <v>5899</v>
      </c>
      <c r="M214" s="482"/>
      <c r="N214" s="482">
        <f>O232</f>
        <v>0</v>
      </c>
      <c r="O214" s="466"/>
      <c r="P214" s="483"/>
      <c r="Q214" s="488">
        <f>J214+L214+N214</f>
        <v>13118</v>
      </c>
      <c r="R214" s="489"/>
      <c r="S214" s="483"/>
      <c r="T214" s="470" t="str">
        <f t="shared" si="250"/>
        <v>13118</v>
      </c>
      <c r="V214" s="547"/>
      <c r="W214" s="471">
        <f t="shared" ref="W214:X214" si="256">W213</f>
        <v>9</v>
      </c>
      <c r="X214" s="471" t="e">
        <f t="shared" si="256"/>
        <v>#REF!</v>
      </c>
      <c r="Y214" s="471" t="e">
        <f t="shared" si="214"/>
        <v>#REF!</v>
      </c>
      <c r="Z214" s="471"/>
      <c r="AA214" s="471"/>
    </row>
    <row r="215" spans="1:27" s="457" customFormat="1" ht="15.75" customHeight="1" x14ac:dyDescent="0.15">
      <c r="B215" s="473"/>
      <c r="C215" s="474"/>
      <c r="D215" s="484"/>
      <c r="E215" s="476"/>
      <c r="F215" s="473"/>
      <c r="G215" s="490"/>
      <c r="H215" s="463" t="str">
        <f t="shared" si="249"/>
        <v/>
      </c>
      <c r="I215" s="491"/>
      <c r="J215" s="482"/>
      <c r="K215" s="465"/>
      <c r="L215" s="482"/>
      <c r="M215" s="482"/>
      <c r="N215" s="482"/>
      <c r="O215" s="466"/>
      <c r="P215" s="492"/>
      <c r="Q215" s="493"/>
      <c r="R215" s="485"/>
      <c r="S215" s="492"/>
      <c r="T215" s="470" t="str">
        <f t="shared" si="250"/>
        <v/>
      </c>
      <c r="V215" s="547"/>
      <c r="W215" s="471">
        <f t="shared" ref="W215:X215" si="257">W214</f>
        <v>9</v>
      </c>
      <c r="X215" s="471" t="e">
        <f t="shared" si="257"/>
        <v>#REF!</v>
      </c>
      <c r="Y215" s="471" t="e">
        <f t="shared" si="214"/>
        <v>#REF!</v>
      </c>
      <c r="Z215" s="471"/>
      <c r="AA215" s="471"/>
    </row>
    <row r="216" spans="1:27" s="457" customFormat="1" ht="15.75" customHeight="1" x14ac:dyDescent="0.15">
      <c r="A216" s="547"/>
      <c r="B216" s="899" t="s">
        <v>375</v>
      </c>
      <c r="C216" s="900"/>
      <c r="D216" s="907" t="s">
        <v>356</v>
      </c>
      <c r="E216" s="908"/>
      <c r="F216" s="903" t="s">
        <v>806</v>
      </c>
      <c r="G216" s="913" t="s">
        <v>807</v>
      </c>
      <c r="H216" s="463" t="str">
        <f t="shared" si="249"/>
        <v>단위</v>
      </c>
      <c r="I216" s="494"/>
      <c r="J216" s="495" t="s">
        <v>348</v>
      </c>
      <c r="K216" s="496"/>
      <c r="L216" s="495" t="s">
        <v>349</v>
      </c>
      <c r="M216" s="496"/>
      <c r="N216" s="497" t="s">
        <v>240</v>
      </c>
      <c r="O216" s="497"/>
      <c r="P216" s="498"/>
      <c r="Q216" s="744" t="s">
        <v>355</v>
      </c>
      <c r="R216" s="744"/>
      <c r="S216" s="499"/>
      <c r="T216" s="470" t="str">
        <f t="shared" si="250"/>
        <v>비  고</v>
      </c>
      <c r="V216" s="548"/>
      <c r="W216" s="471">
        <f t="shared" ref="W216:X216" si="258">W215</f>
        <v>9</v>
      </c>
      <c r="X216" s="471" t="e">
        <f t="shared" si="258"/>
        <v>#REF!</v>
      </c>
      <c r="Y216" s="471" t="e">
        <f t="shared" si="214"/>
        <v>#REF!</v>
      </c>
      <c r="Z216" s="471"/>
      <c r="AA216" s="471"/>
    </row>
    <row r="217" spans="1:27" s="457" customFormat="1" ht="15.75" customHeight="1" x14ac:dyDescent="0.15">
      <c r="A217" s="547"/>
      <c r="B217" s="901"/>
      <c r="C217" s="902"/>
      <c r="D217" s="909"/>
      <c r="E217" s="910"/>
      <c r="F217" s="904"/>
      <c r="G217" s="914"/>
      <c r="H217" s="463" t="str">
        <f t="shared" si="249"/>
        <v/>
      </c>
      <c r="I217" s="500"/>
      <c r="J217" s="501" t="s">
        <v>353</v>
      </c>
      <c r="K217" s="501" t="s">
        <v>354</v>
      </c>
      <c r="L217" s="501" t="s">
        <v>353</v>
      </c>
      <c r="M217" s="502" t="s">
        <v>354</v>
      </c>
      <c r="N217" s="501" t="s">
        <v>353</v>
      </c>
      <c r="O217" s="501" t="s">
        <v>354</v>
      </c>
      <c r="P217" s="503"/>
      <c r="Q217" s="745"/>
      <c r="R217" s="745"/>
      <c r="S217" s="504"/>
      <c r="T217" s="470" t="str">
        <f t="shared" si="250"/>
        <v/>
      </c>
      <c r="V217" s="548"/>
      <c r="W217" s="471">
        <f t="shared" ref="W217:X217" si="259">W216</f>
        <v>9</v>
      </c>
      <c r="X217" s="471" t="e">
        <f t="shared" si="259"/>
        <v>#REF!</v>
      </c>
      <c r="Y217" s="471" t="e">
        <f t="shared" si="214"/>
        <v>#REF!</v>
      </c>
      <c r="Z217" s="471"/>
      <c r="AA217" s="471"/>
    </row>
    <row r="218" spans="1:27" s="473" customFormat="1" ht="15.75" customHeight="1" x14ac:dyDescent="0.15">
      <c r="A218" s="599"/>
      <c r="B218" s="670"/>
      <c r="C218" s="797" t="s">
        <v>1227</v>
      </c>
      <c r="D218" s="798"/>
      <c r="E218" s="827" t="s">
        <v>1228</v>
      </c>
      <c r="F218" s="800" t="s">
        <v>1229</v>
      </c>
      <c r="G218" s="505">
        <f>TRUNC((((2.8*8+3.2*7)/(2.8*3.2))+((8*7)/(2.8*3.2))*0.15)*(0.03*0.03)/0.00334,4)</f>
        <v>1.5999000000000001</v>
      </c>
      <c r="H218" s="463" t="str">
        <f t="shared" si="249"/>
        <v>라왕각재국산재</v>
      </c>
      <c r="I218" s="671" t="str">
        <f>CONCATENATE(C218,E218,F218)</f>
        <v>라왕각재국산재</v>
      </c>
      <c r="J218" s="506">
        <f>IF(OR($F218="인",$F218=""),"",VLOOKUP($H218,단가!$A:$S,19,FALSE))</f>
        <v>4228</v>
      </c>
      <c r="K218" s="507">
        <f t="shared" ref="K218:K222" si="260">IF(J218="","",TRUNC($G218*J218,0))</f>
        <v>6764</v>
      </c>
      <c r="L218" s="506" t="str">
        <f>IF($F218="인",VLOOKUP($C:$C,노임!$C:$G,4,FALSE),"")</f>
        <v/>
      </c>
      <c r="M218" s="507" t="str">
        <f t="shared" ref="M218:M222" si="261">IF(L218="","",TRUNC($G218*L218,0))</f>
        <v/>
      </c>
      <c r="N218" s="507"/>
      <c r="O218" s="507" t="str">
        <f t="shared" ref="O218:O222" si="262">IF(N218="","",TRUNC($G218*N218,0))</f>
        <v/>
      </c>
      <c r="P218" s="508"/>
      <c r="Q218" s="509" t="str">
        <f>IF(F218="인","노임"&amp;VLOOKUP($C:$C,노임!C:G,5,FALSE)&amp;"번","단가"&amp;VLOOKUP($H:$H,단가!$A:$B,2,FALSE)&amp;"번")</f>
        <v>단가9번</v>
      </c>
      <c r="R218" s="510"/>
      <c r="S218" s="131"/>
      <c r="T218" s="599" t="str">
        <f t="shared" si="250"/>
        <v>단가9번</v>
      </c>
      <c r="V218" s="549"/>
      <c r="W218" s="471">
        <f t="shared" ref="W218:X218" si="263">W217</f>
        <v>9</v>
      </c>
      <c r="X218" s="471" t="e">
        <f t="shared" si="263"/>
        <v>#REF!</v>
      </c>
      <c r="Y218" s="471" t="e">
        <f t="shared" ref="Y218:Y230" si="264">X218-W218</f>
        <v>#REF!</v>
      </c>
      <c r="Z218" s="471"/>
      <c r="AA218" s="471"/>
    </row>
    <row r="219" spans="1:27" s="599" customFormat="1" ht="15.75" customHeight="1" x14ac:dyDescent="0.15">
      <c r="B219" s="670"/>
      <c r="C219" s="140" t="s">
        <v>572</v>
      </c>
      <c r="D219" s="670"/>
      <c r="E219" s="602" t="s">
        <v>573</v>
      </c>
      <c r="F219" s="207" t="s">
        <v>1017</v>
      </c>
      <c r="G219" s="505">
        <v>1</v>
      </c>
      <c r="H219" s="463" t="str">
        <f t="shared" si="249"/>
        <v>잡재료 및 소모재료주재료비의 5%식</v>
      </c>
      <c r="I219" s="671" t="str">
        <f>CONCATENATE(C219,E219,F219)</f>
        <v>잡재료 및 소모재료주재료비의 5%식</v>
      </c>
      <c r="J219" s="506">
        <f>TRUNC((K218)*5%,0)</f>
        <v>338</v>
      </c>
      <c r="K219" s="507">
        <f t="shared" si="260"/>
        <v>338</v>
      </c>
      <c r="L219" s="506" t="str">
        <f>IF($F219="인",VLOOKUP($C:$C,노임!$C:$G,4,FALSE),"")</f>
        <v/>
      </c>
      <c r="M219" s="507" t="str">
        <f t="shared" si="261"/>
        <v/>
      </c>
      <c r="N219" s="507"/>
      <c r="O219" s="507" t="str">
        <f t="shared" si="262"/>
        <v/>
      </c>
      <c r="P219" s="508"/>
      <c r="Q219" s="509"/>
      <c r="R219" s="510"/>
      <c r="S219" s="131"/>
      <c r="T219" s="599" t="str">
        <f t="shared" si="250"/>
        <v/>
      </c>
      <c r="V219" s="549"/>
      <c r="W219" s="471">
        <f t="shared" ref="W219:X219" si="265">W218</f>
        <v>9</v>
      </c>
      <c r="X219" s="471" t="e">
        <f t="shared" si="265"/>
        <v>#REF!</v>
      </c>
      <c r="Y219" s="471" t="e">
        <f t="shared" si="264"/>
        <v>#REF!</v>
      </c>
      <c r="Z219" s="471"/>
      <c r="AA219" s="471"/>
    </row>
    <row r="220" spans="1:27" s="599" customFormat="1" ht="15.75" customHeight="1" x14ac:dyDescent="0.15">
      <c r="B220" s="670"/>
      <c r="C220" s="140" t="s">
        <v>749</v>
      </c>
      <c r="D220" s="670"/>
      <c r="E220" s="643"/>
      <c r="F220" s="207" t="s">
        <v>750</v>
      </c>
      <c r="G220" s="801">
        <v>3.3000000000000002E-2</v>
      </c>
      <c r="H220" s="463" t="str">
        <f t="shared" si="249"/>
        <v>건축목공인</v>
      </c>
      <c r="I220" s="671" t="str">
        <f>CONCATENATE(C220,E220,F220)</f>
        <v>건축목공인</v>
      </c>
      <c r="J220" s="506" t="str">
        <f>IF(OR($F220="인",$F220=""),"",VLOOKUP($H220,단가!$A:$S,19,FALSE))</f>
        <v/>
      </c>
      <c r="K220" s="507" t="str">
        <f t="shared" si="260"/>
        <v/>
      </c>
      <c r="L220" s="506">
        <f>IF($F220="인",VLOOKUP($C:$C,노임!$C:$G,4,FALSE),"")</f>
        <v>169062</v>
      </c>
      <c r="M220" s="507">
        <f t="shared" si="261"/>
        <v>5579</v>
      </c>
      <c r="N220" s="507"/>
      <c r="O220" s="507" t="str">
        <f t="shared" si="262"/>
        <v/>
      </c>
      <c r="P220" s="508"/>
      <c r="Q220" s="509" t="str">
        <f>IF(F220="인","노임"&amp;VLOOKUP($C:$C,노임!C:G,5,FALSE)&amp;"번","단가"&amp;VLOOKUP($H:$H,단가!$A:$B,2,FALSE)&amp;"번")</f>
        <v>노임1023번</v>
      </c>
      <c r="R220" s="510"/>
      <c r="S220" s="131"/>
      <c r="T220" s="599" t="str">
        <f t="shared" si="250"/>
        <v>노임1023번</v>
      </c>
      <c r="V220" s="549"/>
      <c r="W220" s="471">
        <f t="shared" ref="W220:X220" si="266">W219</f>
        <v>9</v>
      </c>
      <c r="X220" s="471" t="e">
        <f t="shared" si="266"/>
        <v>#REF!</v>
      </c>
      <c r="Y220" s="471" t="e">
        <f t="shared" si="264"/>
        <v>#REF!</v>
      </c>
      <c r="Z220" s="471"/>
      <c r="AA220" s="471"/>
    </row>
    <row r="221" spans="1:27" s="599" customFormat="1" ht="15.75" customHeight="1" x14ac:dyDescent="0.15">
      <c r="B221" s="670"/>
      <c r="C221" s="140" t="s">
        <v>767</v>
      </c>
      <c r="D221" s="670"/>
      <c r="E221" s="643"/>
      <c r="F221" s="207" t="s">
        <v>750</v>
      </c>
      <c r="G221" s="801">
        <v>3.0000000000000001E-3</v>
      </c>
      <c r="H221" s="463" t="str">
        <f t="shared" si="249"/>
        <v>보통인부인</v>
      </c>
      <c r="I221" s="671" t="str">
        <f>CONCATENATE(C221,E221,F221)</f>
        <v>보통인부인</v>
      </c>
      <c r="J221" s="506" t="str">
        <f>IF(OR($F221="인",$F221=""),"",VLOOKUP($H221,단가!$A:$S,19,FALSE))</f>
        <v/>
      </c>
      <c r="K221" s="507" t="str">
        <f t="shared" si="260"/>
        <v/>
      </c>
      <c r="L221" s="506">
        <f>IF($F221="인",VLOOKUP($C:$C,노임!$C:$G,4,FALSE),"")</f>
        <v>106846</v>
      </c>
      <c r="M221" s="507">
        <f t="shared" si="261"/>
        <v>320</v>
      </c>
      <c r="N221" s="507"/>
      <c r="O221" s="507" t="str">
        <f t="shared" si="262"/>
        <v/>
      </c>
      <c r="P221" s="508"/>
      <c r="Q221" s="509" t="str">
        <f>IF(F221="인","노임"&amp;VLOOKUP($C:$C,노임!C:G,5,FALSE)&amp;"번","단가"&amp;VLOOKUP($H:$H,단가!$A:$B,2,FALSE)&amp;"번")</f>
        <v>노임1002번</v>
      </c>
      <c r="R221" s="510"/>
      <c r="S221" s="131"/>
      <c r="T221" s="599" t="str">
        <f t="shared" si="250"/>
        <v>노임1002번</v>
      </c>
      <c r="V221" s="549"/>
      <c r="W221" s="471">
        <f t="shared" ref="W221:X221" si="267">W220</f>
        <v>9</v>
      </c>
      <c r="X221" s="471" t="e">
        <f t="shared" si="267"/>
        <v>#REF!</v>
      </c>
      <c r="Y221" s="471" t="e">
        <f t="shared" si="264"/>
        <v>#REF!</v>
      </c>
      <c r="Z221" s="471"/>
      <c r="AA221" s="471"/>
    </row>
    <row r="222" spans="1:27" s="473" customFormat="1" ht="15.75" customHeight="1" x14ac:dyDescent="0.15">
      <c r="A222" s="599"/>
      <c r="B222" s="670"/>
      <c r="C222" s="140" t="s">
        <v>766</v>
      </c>
      <c r="D222" s="670"/>
      <c r="E222" s="643" t="s">
        <v>518</v>
      </c>
      <c r="F222" s="207" t="s">
        <v>777</v>
      </c>
      <c r="G222" s="801">
        <v>1</v>
      </c>
      <c r="H222" s="463" t="str">
        <f t="shared" si="249"/>
        <v>공구손료인력품의 2%식</v>
      </c>
      <c r="I222" s="671"/>
      <c r="J222" s="506">
        <f>TRUNC((M220+M221)*2%,0)</f>
        <v>117</v>
      </c>
      <c r="K222" s="507">
        <f t="shared" si="260"/>
        <v>117</v>
      </c>
      <c r="L222" s="506"/>
      <c r="M222" s="507" t="str">
        <f t="shared" si="261"/>
        <v/>
      </c>
      <c r="N222" s="507"/>
      <c r="O222" s="507" t="str">
        <f t="shared" si="262"/>
        <v/>
      </c>
      <c r="P222" s="508"/>
      <c r="Q222" s="512"/>
      <c r="R222" s="534"/>
      <c r="S222" s="131"/>
      <c r="T222" s="599" t="str">
        <f t="shared" si="250"/>
        <v/>
      </c>
      <c r="V222" s="549"/>
      <c r="W222" s="471">
        <f t="shared" ref="W222:X222" si="268">W221</f>
        <v>9</v>
      </c>
      <c r="X222" s="471" t="e">
        <f t="shared" si="268"/>
        <v>#REF!</v>
      </c>
      <c r="Y222" s="471" t="e">
        <f t="shared" si="264"/>
        <v>#REF!</v>
      </c>
      <c r="Z222" s="471"/>
      <c r="AA222" s="471"/>
    </row>
    <row r="223" spans="1:27" s="599" customFormat="1" ht="15.75" customHeight="1" x14ac:dyDescent="0.15">
      <c r="B223" s="670"/>
      <c r="C223" s="140"/>
      <c r="D223" s="670"/>
      <c r="E223" s="643"/>
      <c r="F223" s="207"/>
      <c r="G223" s="801"/>
      <c r="H223" s="463" t="str">
        <f t="shared" si="249"/>
        <v/>
      </c>
      <c r="I223" s="671"/>
      <c r="J223" s="506"/>
      <c r="K223" s="507"/>
      <c r="L223" s="506"/>
      <c r="M223" s="507"/>
      <c r="N223" s="507"/>
      <c r="O223" s="507"/>
      <c r="P223" s="508"/>
      <c r="Q223" s="512"/>
      <c r="R223" s="513"/>
      <c r="S223" s="131"/>
      <c r="T223" s="599" t="str">
        <f t="shared" si="250"/>
        <v/>
      </c>
      <c r="V223" s="549"/>
      <c r="W223" s="471">
        <f t="shared" ref="W223:X223" si="269">W222</f>
        <v>9</v>
      </c>
      <c r="X223" s="471" t="e">
        <f t="shared" si="269"/>
        <v>#REF!</v>
      </c>
      <c r="Y223" s="471" t="e">
        <f t="shared" si="264"/>
        <v>#REF!</v>
      </c>
      <c r="Z223" s="471"/>
      <c r="AA223" s="471"/>
    </row>
    <row r="224" spans="1:27" s="599" customFormat="1" ht="15.75" customHeight="1" x14ac:dyDescent="0.15">
      <c r="B224" s="670"/>
      <c r="C224" s="140"/>
      <c r="D224" s="670"/>
      <c r="E224" s="643"/>
      <c r="F224" s="207"/>
      <c r="G224" s="801"/>
      <c r="H224" s="463" t="str">
        <f t="shared" si="249"/>
        <v/>
      </c>
      <c r="I224" s="671"/>
      <c r="J224" s="506"/>
      <c r="K224" s="507"/>
      <c r="L224" s="506"/>
      <c r="M224" s="507"/>
      <c r="N224" s="507"/>
      <c r="O224" s="507"/>
      <c r="P224" s="508"/>
      <c r="Q224" s="512"/>
      <c r="R224" s="513"/>
      <c r="S224" s="131"/>
      <c r="T224" s="599" t="str">
        <f t="shared" si="250"/>
        <v/>
      </c>
      <c r="V224" s="549"/>
      <c r="W224" s="471">
        <f t="shared" ref="W224:X224" si="270">W223</f>
        <v>9</v>
      </c>
      <c r="X224" s="471" t="e">
        <f t="shared" si="270"/>
        <v>#REF!</v>
      </c>
      <c r="Y224" s="471" t="e">
        <f t="shared" si="264"/>
        <v>#REF!</v>
      </c>
      <c r="Z224" s="471"/>
      <c r="AA224" s="471"/>
    </row>
    <row r="225" spans="1:27" s="599" customFormat="1" ht="15.75" customHeight="1" x14ac:dyDescent="0.15">
      <c r="B225" s="670"/>
      <c r="C225" s="140"/>
      <c r="D225" s="670"/>
      <c r="E225" s="643"/>
      <c r="F225" s="207"/>
      <c r="G225" s="505"/>
      <c r="H225" s="463" t="str">
        <f t="shared" si="249"/>
        <v/>
      </c>
      <c r="I225" s="671"/>
      <c r="J225" s="506"/>
      <c r="K225" s="507"/>
      <c r="L225" s="506"/>
      <c r="M225" s="507"/>
      <c r="N225" s="507"/>
      <c r="O225" s="507"/>
      <c r="P225" s="508"/>
      <c r="Q225" s="512"/>
      <c r="R225" s="513"/>
      <c r="S225" s="131"/>
      <c r="T225" s="599" t="str">
        <f t="shared" si="250"/>
        <v/>
      </c>
      <c r="V225" s="549"/>
      <c r="W225" s="471">
        <f t="shared" ref="W225:X225" si="271">W224</f>
        <v>9</v>
      </c>
      <c r="X225" s="471" t="e">
        <f t="shared" si="271"/>
        <v>#REF!</v>
      </c>
      <c r="Y225" s="471" t="e">
        <f t="shared" si="264"/>
        <v>#REF!</v>
      </c>
      <c r="Z225" s="471"/>
      <c r="AA225" s="471"/>
    </row>
    <row r="226" spans="1:27" s="599" customFormat="1" ht="15.75" customHeight="1" x14ac:dyDescent="0.15">
      <c r="B226" s="670"/>
      <c r="C226" s="140"/>
      <c r="D226" s="670"/>
      <c r="E226" s="643"/>
      <c r="F226" s="207"/>
      <c r="G226" s="505"/>
      <c r="H226" s="463" t="str">
        <f t="shared" si="249"/>
        <v/>
      </c>
      <c r="I226" s="671"/>
      <c r="J226" s="506"/>
      <c r="K226" s="507"/>
      <c r="L226" s="506"/>
      <c r="M226" s="507"/>
      <c r="N226" s="507"/>
      <c r="O226" s="507"/>
      <c r="P226" s="508"/>
      <c r="Q226" s="512"/>
      <c r="R226" s="513"/>
      <c r="S226" s="131"/>
      <c r="T226" s="599" t="str">
        <f t="shared" si="250"/>
        <v/>
      </c>
      <c r="V226" s="549"/>
      <c r="W226" s="471">
        <f t="shared" ref="W226:X226" si="272">W225</f>
        <v>9</v>
      </c>
      <c r="X226" s="471" t="e">
        <f t="shared" si="272"/>
        <v>#REF!</v>
      </c>
      <c r="Y226" s="471" t="e">
        <f t="shared" si="264"/>
        <v>#REF!</v>
      </c>
      <c r="Z226" s="471"/>
      <c r="AA226" s="471"/>
    </row>
    <row r="227" spans="1:27" s="599" customFormat="1" ht="15.75" customHeight="1" x14ac:dyDescent="0.15">
      <c r="B227" s="670"/>
      <c r="C227" s="140"/>
      <c r="D227" s="670"/>
      <c r="E227" s="643"/>
      <c r="F227" s="207"/>
      <c r="G227" s="505"/>
      <c r="H227" s="463" t="str">
        <f t="shared" si="249"/>
        <v/>
      </c>
      <c r="I227" s="671"/>
      <c r="J227" s="506"/>
      <c r="K227" s="507"/>
      <c r="L227" s="506"/>
      <c r="M227" s="507"/>
      <c r="N227" s="507"/>
      <c r="O227" s="507"/>
      <c r="P227" s="508"/>
      <c r="Q227" s="512"/>
      <c r="R227" s="513"/>
      <c r="S227" s="131"/>
      <c r="T227" s="599" t="str">
        <f t="shared" si="250"/>
        <v/>
      </c>
      <c r="V227" s="549"/>
      <c r="W227" s="471">
        <f t="shared" ref="W227:X227" si="273">W226</f>
        <v>9</v>
      </c>
      <c r="X227" s="471" t="e">
        <f t="shared" si="273"/>
        <v>#REF!</v>
      </c>
      <c r="Y227" s="471" t="e">
        <f t="shared" si="264"/>
        <v>#REF!</v>
      </c>
      <c r="Z227" s="471"/>
      <c r="AA227" s="471"/>
    </row>
    <row r="228" spans="1:27" s="599" customFormat="1" ht="15.75" customHeight="1" x14ac:dyDescent="0.15">
      <c r="B228" s="670"/>
      <c r="C228" s="562"/>
      <c r="D228" s="670"/>
      <c r="E228" s="643"/>
      <c r="F228" s="207"/>
      <c r="G228" s="505"/>
      <c r="H228" s="463" t="str">
        <f t="shared" si="249"/>
        <v/>
      </c>
      <c r="I228" s="671"/>
      <c r="J228" s="506"/>
      <c r="K228" s="507"/>
      <c r="L228" s="506"/>
      <c r="M228" s="507"/>
      <c r="N228" s="507"/>
      <c r="O228" s="507"/>
      <c r="P228" s="508"/>
      <c r="Q228" s="512"/>
      <c r="R228" s="513"/>
      <c r="S228" s="131"/>
      <c r="T228" s="599" t="str">
        <f t="shared" si="250"/>
        <v/>
      </c>
      <c r="V228" s="549"/>
      <c r="W228" s="471">
        <f t="shared" ref="W228:X228" si="274">W227</f>
        <v>9</v>
      </c>
      <c r="X228" s="471" t="e">
        <f t="shared" si="274"/>
        <v>#REF!</v>
      </c>
      <c r="Y228" s="471" t="e">
        <f t="shared" si="264"/>
        <v>#REF!</v>
      </c>
      <c r="Z228" s="471"/>
      <c r="AA228" s="471"/>
    </row>
    <row r="229" spans="1:27" s="599" customFormat="1" ht="15.75" customHeight="1" x14ac:dyDescent="0.15">
      <c r="B229" s="670"/>
      <c r="C229" s="140"/>
      <c r="D229" s="670"/>
      <c r="E229" s="643"/>
      <c r="F229" s="207"/>
      <c r="G229" s="505"/>
      <c r="H229" s="463" t="str">
        <f t="shared" si="249"/>
        <v/>
      </c>
      <c r="I229" s="671"/>
      <c r="J229" s="506"/>
      <c r="K229" s="507"/>
      <c r="L229" s="506"/>
      <c r="M229" s="507"/>
      <c r="N229" s="507"/>
      <c r="O229" s="507"/>
      <c r="P229" s="508"/>
      <c r="Q229" s="512"/>
      <c r="R229" s="513"/>
      <c r="S229" s="131"/>
      <c r="T229" s="599" t="str">
        <f t="shared" si="250"/>
        <v/>
      </c>
      <c r="V229" s="549"/>
      <c r="W229" s="471">
        <f t="shared" ref="W229:X229" si="275">W228</f>
        <v>9</v>
      </c>
      <c r="X229" s="471" t="e">
        <f t="shared" si="275"/>
        <v>#REF!</v>
      </c>
      <c r="Y229" s="471" t="e">
        <f t="shared" si="264"/>
        <v>#REF!</v>
      </c>
      <c r="Z229" s="471"/>
      <c r="AA229" s="471"/>
    </row>
    <row r="230" spans="1:27" s="599" customFormat="1" ht="15.75" customHeight="1" x14ac:dyDescent="0.15">
      <c r="B230" s="670"/>
      <c r="C230" s="562" t="s">
        <v>1245</v>
      </c>
      <c r="D230" s="670"/>
      <c r="E230" s="643"/>
      <c r="F230" s="207"/>
      <c r="G230" s="505"/>
      <c r="H230" s="463" t="str">
        <f t="shared" si="249"/>
        <v>- 각재소요량 : (((2.8*8+3.2*7)/(2.8*3.2))+((8*7)/(2.8*3.2))*0.15)*(0.03*0.03)/0.00334</v>
      </c>
      <c r="I230" s="671"/>
      <c r="J230" s="506"/>
      <c r="K230" s="507"/>
      <c r="L230" s="506"/>
      <c r="M230" s="507"/>
      <c r="N230" s="507"/>
      <c r="O230" s="507"/>
      <c r="P230" s="508"/>
      <c r="Q230" s="512"/>
      <c r="R230" s="513"/>
      <c r="S230" s="131"/>
      <c r="T230" s="599" t="str">
        <f t="shared" si="250"/>
        <v/>
      </c>
      <c r="V230" s="549"/>
      <c r="W230" s="471">
        <f t="shared" ref="W230:X230" si="276">W229</f>
        <v>9</v>
      </c>
      <c r="X230" s="471" t="e">
        <f t="shared" si="276"/>
        <v>#REF!</v>
      </c>
      <c r="Y230" s="471" t="e">
        <f t="shared" si="264"/>
        <v>#REF!</v>
      </c>
      <c r="Z230" s="471"/>
      <c r="AA230" s="471"/>
    </row>
    <row r="231" spans="1:27" s="470" customFormat="1" ht="15.75" customHeight="1" x14ac:dyDescent="0.15">
      <c r="B231" s="95"/>
      <c r="C231" s="140"/>
      <c r="D231" s="95"/>
      <c r="E231" s="141"/>
      <c r="F231" s="94"/>
      <c r="G231" s="505"/>
      <c r="H231" s="463" t="str">
        <f t="shared" si="249"/>
        <v/>
      </c>
      <c r="I231" s="451"/>
      <c r="J231" s="506"/>
      <c r="K231" s="507"/>
      <c r="L231" s="506"/>
      <c r="M231" s="507"/>
      <c r="N231" s="507"/>
      <c r="O231" s="507"/>
      <c r="P231" s="508"/>
      <c r="Q231" s="512"/>
      <c r="R231" s="513"/>
      <c r="S231" s="131"/>
      <c r="T231" s="470" t="str">
        <f t="shared" si="250"/>
        <v/>
      </c>
      <c r="V231" s="549"/>
      <c r="W231" s="471">
        <f t="shared" ref="W231:X231" si="277">W230</f>
        <v>9</v>
      </c>
      <c r="X231" s="471" t="e">
        <f t="shared" si="277"/>
        <v>#REF!</v>
      </c>
      <c r="Y231" s="471" t="e">
        <f t="shared" si="214"/>
        <v>#REF!</v>
      </c>
      <c r="Z231" s="471"/>
      <c r="AA231" s="471"/>
    </row>
    <row r="232" spans="1:27" s="470" customFormat="1" ht="15.75" customHeight="1" x14ac:dyDescent="0.15">
      <c r="A232" s="457"/>
      <c r="B232" s="514" t="s">
        <v>751</v>
      </c>
      <c r="C232" s="515"/>
      <c r="D232" s="516"/>
      <c r="E232" s="517"/>
      <c r="F232" s="518"/>
      <c r="G232" s="519"/>
      <c r="H232" s="463" t="str">
        <f t="shared" si="249"/>
        <v/>
      </c>
      <c r="I232" s="520">
        <f>목록!$B$14</f>
        <v>9</v>
      </c>
      <c r="J232" s="521"/>
      <c r="K232" s="522">
        <f>SUM(K218:K231)</f>
        <v>7219</v>
      </c>
      <c r="L232" s="521"/>
      <c r="M232" s="522">
        <f>SUM(M218:M231)</f>
        <v>5899</v>
      </c>
      <c r="N232" s="521"/>
      <c r="O232" s="522">
        <f>SUM(O218:O231)</f>
        <v>0</v>
      </c>
      <c r="P232" s="523"/>
      <c r="Q232" s="512"/>
      <c r="R232" s="513"/>
      <c r="S232" s="524"/>
      <c r="T232" s="470" t="str">
        <f t="shared" si="250"/>
        <v/>
      </c>
      <c r="V232" s="551"/>
      <c r="W232" s="471">
        <f t="shared" ref="W232:X233" si="278">W231</f>
        <v>9</v>
      </c>
      <c r="X232" s="471" t="e">
        <f t="shared" si="278"/>
        <v>#REF!</v>
      </c>
      <c r="Y232" s="471" t="e">
        <f t="shared" si="214"/>
        <v>#REF!</v>
      </c>
      <c r="Z232" s="471"/>
      <c r="AA232" s="471"/>
    </row>
    <row r="233" spans="1:27" s="599" customFormat="1" ht="15.75" customHeight="1" x14ac:dyDescent="0.15">
      <c r="B233" s="453"/>
      <c r="C233" s="802" t="s">
        <v>1230</v>
      </c>
      <c r="D233" s="670"/>
      <c r="E233" s="643"/>
      <c r="F233" s="207"/>
      <c r="G233" s="505"/>
      <c r="H233" s="463" t="str">
        <f t="shared" si="249"/>
        <v>※ 건축표준품셈 11-1-3 건축물 내부목공사 / 1.벽체틀 / 1재=12자 * 1치 *1치 = 0.00334㎥ = 3.636m * 0.0303m * 0.0303</v>
      </c>
      <c r="I233" s="671"/>
      <c r="J233" s="506"/>
      <c r="K233" s="507"/>
      <c r="L233" s="506"/>
      <c r="M233" s="507"/>
      <c r="N233" s="507"/>
      <c r="O233" s="507"/>
      <c r="P233" s="508"/>
      <c r="Q233" s="512"/>
      <c r="R233" s="513"/>
      <c r="S233" s="131"/>
      <c r="T233" s="599" t="str">
        <f t="shared" si="250"/>
        <v/>
      </c>
      <c r="W233" s="615">
        <f t="shared" si="278"/>
        <v>9</v>
      </c>
      <c r="X233" s="471" t="e">
        <f t="shared" si="278"/>
        <v>#REF!</v>
      </c>
      <c r="Y233" s="471" t="e">
        <f t="shared" ref="Y233" si="279">X233-W233</f>
        <v>#REF!</v>
      </c>
      <c r="Z233" s="471"/>
      <c r="AA233" s="471"/>
    </row>
    <row r="234" spans="1:27" s="457" customFormat="1" ht="15.75" customHeight="1" x14ac:dyDescent="0.15">
      <c r="A234" s="470"/>
      <c r="B234" s="453"/>
      <c r="C234" s="209"/>
      <c r="D234" s="95"/>
      <c r="E234" s="141"/>
      <c r="F234" s="94"/>
      <c r="G234" s="505"/>
      <c r="H234" s="463" t="str">
        <f t="shared" si="249"/>
        <v/>
      </c>
      <c r="I234" s="451"/>
      <c r="J234" s="506"/>
      <c r="K234" s="507"/>
      <c r="L234" s="506"/>
      <c r="M234" s="507"/>
      <c r="N234" s="507"/>
      <c r="O234" s="507"/>
      <c r="P234" s="508"/>
      <c r="Q234" s="512"/>
      <c r="R234" s="513"/>
      <c r="S234" s="131"/>
      <c r="T234" s="470" t="str">
        <f t="shared" si="250"/>
        <v/>
      </c>
      <c r="V234" s="470"/>
      <c r="W234" s="471">
        <f t="shared" ref="W234:X234" si="280">W233</f>
        <v>9</v>
      </c>
      <c r="X234" s="471" t="e">
        <f t="shared" si="280"/>
        <v>#REF!</v>
      </c>
      <c r="Y234" s="471" t="e">
        <f t="shared" si="214"/>
        <v>#REF!</v>
      </c>
      <c r="Z234" s="471"/>
      <c r="AA234" s="471"/>
    </row>
    <row r="235" spans="1:27" s="470" customFormat="1" ht="15.75" customHeight="1" x14ac:dyDescent="0.15">
      <c r="A235" s="457"/>
      <c r="B235" s="514"/>
      <c r="C235" s="515"/>
      <c r="D235" s="516"/>
      <c r="E235" s="517"/>
      <c r="F235" s="518"/>
      <c r="G235" s="519"/>
      <c r="H235" s="463" t="str">
        <f t="shared" si="249"/>
        <v/>
      </c>
      <c r="I235" s="520"/>
      <c r="J235" s="521"/>
      <c r="K235" s="522"/>
      <c r="L235" s="521"/>
      <c r="M235" s="522"/>
      <c r="N235" s="521"/>
      <c r="O235" s="522"/>
      <c r="P235" s="523"/>
      <c r="Q235" s="512"/>
      <c r="R235" s="513"/>
      <c r="S235" s="524"/>
      <c r="T235" s="470" t="str">
        <f t="shared" si="250"/>
        <v/>
      </c>
      <c r="V235" s="551"/>
      <c r="W235" s="471">
        <f t="shared" ref="W235:X235" si="281">W234</f>
        <v>9</v>
      </c>
      <c r="X235" s="471" t="e">
        <f t="shared" si="281"/>
        <v>#REF!</v>
      </c>
      <c r="Y235" s="471" t="e">
        <f t="shared" si="214"/>
        <v>#REF!</v>
      </c>
      <c r="Z235" s="471"/>
      <c r="AA235" s="471"/>
    </row>
    <row r="236" spans="1:27" s="599" customFormat="1" ht="15.75" customHeight="1" x14ac:dyDescent="0.15">
      <c r="A236" s="473"/>
      <c r="B236" s="473"/>
      <c r="C236" s="458"/>
      <c r="D236" s="459"/>
      <c r="E236" s="460"/>
      <c r="F236" s="461"/>
      <c r="G236" s="462"/>
      <c r="H236" s="463" t="str">
        <f t="shared" ref="H236:H261" si="282">CONCATENATE(C236,E236,F236)</f>
        <v/>
      </c>
      <c r="I236" s="464"/>
      <c r="J236" s="465"/>
      <c r="K236" s="465"/>
      <c r="L236" s="465"/>
      <c r="M236" s="465"/>
      <c r="N236" s="465"/>
      <c r="O236" s="466"/>
      <c r="P236" s="467"/>
      <c r="Q236" s="468"/>
      <c r="R236" s="526"/>
      <c r="S236" s="467"/>
      <c r="T236" s="599" t="str">
        <f t="shared" ref="T236:T261" si="283">CONCATENATE(Q236,R236)</f>
        <v/>
      </c>
      <c r="W236" s="533">
        <f t="shared" ref="W236" si="284">I258</f>
        <v>10</v>
      </c>
      <c r="X236" s="533" t="e">
        <f t="shared" ref="X236" si="285">X235+1</f>
        <v>#REF!</v>
      </c>
      <c r="Y236" s="533" t="e">
        <f t="shared" ref="Y236:Y261" si="286">X236-W236</f>
        <v>#REF!</v>
      </c>
      <c r="Z236" s="533"/>
      <c r="AA236" s="533"/>
    </row>
    <row r="237" spans="1:27" s="473" customFormat="1" ht="15.75" customHeight="1" x14ac:dyDescent="0.15">
      <c r="C237" s="746" t="str">
        <f>"   항목번호 : "&amp;목록!L$15</f>
        <v xml:space="preserve">   항목번호 : 제10호표</v>
      </c>
      <c r="D237" s="475">
        <f>목록!B$14</f>
        <v>9</v>
      </c>
      <c r="E237" s="476"/>
      <c r="F237" s="477"/>
      <c r="G237" s="478"/>
      <c r="H237" s="463" t="str">
        <f t="shared" si="282"/>
        <v xml:space="preserve">   항목번호 : 제10호표</v>
      </c>
      <c r="I237" s="479"/>
      <c r="J237" s="488"/>
      <c r="K237" s="481"/>
      <c r="L237" s="482"/>
      <c r="M237" s="482"/>
      <c r="N237" s="482"/>
      <c r="O237" s="466"/>
      <c r="P237" s="483"/>
      <c r="Q237" s="654"/>
      <c r="R237" s="485"/>
      <c r="S237" s="483"/>
      <c r="T237" s="599" t="str">
        <f t="shared" si="283"/>
        <v/>
      </c>
      <c r="V237" s="599"/>
      <c r="W237" s="471">
        <f t="shared" ref="W237:X237" si="287">W236</f>
        <v>10</v>
      </c>
      <c r="X237" s="471" t="e">
        <f t="shared" si="287"/>
        <v>#REF!</v>
      </c>
      <c r="Y237" s="471" t="e">
        <f t="shared" si="286"/>
        <v>#REF!</v>
      </c>
      <c r="Z237" s="471"/>
      <c r="AA237" s="471"/>
    </row>
    <row r="238" spans="1:27" s="473" customFormat="1" ht="15.75" customHeight="1" x14ac:dyDescent="0.15">
      <c r="C238" s="746" t="str">
        <f>"   공      종 : "&amp;목록!D$15</f>
        <v xml:space="preserve">   공      종 : 각재 구조틀설치</v>
      </c>
      <c r="D238" s="654"/>
      <c r="E238" s="476"/>
      <c r="G238" s="478"/>
      <c r="H238" s="463" t="str">
        <f t="shared" si="282"/>
        <v xml:space="preserve">   공      종 : 각재 구조틀설치</v>
      </c>
      <c r="I238" s="479"/>
      <c r="J238" s="488"/>
      <c r="K238" s="481"/>
      <c r="L238" s="482"/>
      <c r="M238" s="482"/>
      <c r="N238" s="482"/>
      <c r="O238" s="466"/>
      <c r="P238" s="483"/>
      <c r="Q238" s="654"/>
      <c r="R238" s="485"/>
      <c r="S238" s="483"/>
      <c r="T238" s="599" t="str">
        <f t="shared" si="283"/>
        <v/>
      </c>
      <c r="V238" s="599"/>
      <c r="W238" s="471">
        <f t="shared" ref="W238:X238" si="288">W237</f>
        <v>10</v>
      </c>
      <c r="X238" s="471" t="e">
        <f t="shared" si="288"/>
        <v>#REF!</v>
      </c>
      <c r="Y238" s="471" t="e">
        <f t="shared" si="286"/>
        <v>#REF!</v>
      </c>
      <c r="Z238" s="471"/>
      <c r="AA238" s="471"/>
    </row>
    <row r="239" spans="1:27" s="473" customFormat="1" ht="15.75" customHeight="1" x14ac:dyDescent="0.15">
      <c r="C239" s="746" t="str">
        <f xml:space="preserve"> "   규      격 : "&amp;목록!F$15</f>
        <v xml:space="preserve">   규      격 : 30x30, @450, 집기/하우징류</v>
      </c>
      <c r="D239" s="654"/>
      <c r="E239" s="476"/>
      <c r="G239" s="478"/>
      <c r="H239" s="463" t="str">
        <f t="shared" si="282"/>
        <v xml:space="preserve">   규      격 : 30x30, @450, 집기/하우징류</v>
      </c>
      <c r="I239" s="479"/>
      <c r="J239" s="488" t="s">
        <v>348</v>
      </c>
      <c r="K239" s="481"/>
      <c r="L239" s="482" t="s">
        <v>349</v>
      </c>
      <c r="M239" s="482"/>
      <c r="N239" s="482" t="s">
        <v>240</v>
      </c>
      <c r="O239" s="466"/>
      <c r="P239" s="483"/>
      <c r="Q239" s="654" t="s">
        <v>805</v>
      </c>
      <c r="R239" s="654"/>
      <c r="S239" s="483"/>
      <c r="T239" s="599" t="str">
        <f t="shared" si="283"/>
        <v>합계</v>
      </c>
      <c r="V239" s="599"/>
      <c r="W239" s="471">
        <f t="shared" ref="W239:X239" si="289">W238</f>
        <v>10</v>
      </c>
      <c r="X239" s="471" t="e">
        <f t="shared" si="289"/>
        <v>#REF!</v>
      </c>
      <c r="Y239" s="471" t="e">
        <f t="shared" si="286"/>
        <v>#REF!</v>
      </c>
      <c r="Z239" s="471"/>
      <c r="AA239" s="471"/>
    </row>
    <row r="240" spans="1:27" s="473" customFormat="1" ht="15.75" customHeight="1" x14ac:dyDescent="0.15">
      <c r="C240" s="746" t="str">
        <f>"   단      위 : "&amp;목록!G$15</f>
        <v xml:space="preserve">   단      위 : ㎡</v>
      </c>
      <c r="D240" s="654"/>
      <c r="E240" s="476"/>
      <c r="G240" s="478"/>
      <c r="H240" s="463" t="str">
        <f t="shared" si="282"/>
        <v xml:space="preserve">   단      위 : ㎡</v>
      </c>
      <c r="I240" s="479"/>
      <c r="J240" s="489">
        <f>K258</f>
        <v>14727</v>
      </c>
      <c r="K240" s="481"/>
      <c r="L240" s="487">
        <f>M258</f>
        <v>26162</v>
      </c>
      <c r="M240" s="482"/>
      <c r="N240" s="482">
        <f>O258</f>
        <v>0</v>
      </c>
      <c r="O240" s="466"/>
      <c r="P240" s="483"/>
      <c r="Q240" s="488">
        <f>J240+L240+N240</f>
        <v>40889</v>
      </c>
      <c r="R240" s="489"/>
      <c r="S240" s="483"/>
      <c r="T240" s="599" t="str">
        <f t="shared" si="283"/>
        <v>40889</v>
      </c>
      <c r="V240" s="599"/>
      <c r="W240" s="471">
        <f t="shared" ref="W240:X240" si="290">W239</f>
        <v>10</v>
      </c>
      <c r="X240" s="471" t="e">
        <f t="shared" si="290"/>
        <v>#REF!</v>
      </c>
      <c r="Y240" s="471" t="e">
        <f t="shared" si="286"/>
        <v>#REF!</v>
      </c>
      <c r="Z240" s="471"/>
      <c r="AA240" s="471"/>
    </row>
    <row r="241" spans="1:27" s="473" customFormat="1" ht="15.75" customHeight="1" x14ac:dyDescent="0.15">
      <c r="C241" s="746"/>
      <c r="D241" s="654"/>
      <c r="E241" s="476"/>
      <c r="G241" s="490"/>
      <c r="H241" s="463" t="str">
        <f t="shared" si="282"/>
        <v/>
      </c>
      <c r="I241" s="491"/>
      <c r="J241" s="482"/>
      <c r="K241" s="465"/>
      <c r="L241" s="482"/>
      <c r="M241" s="482"/>
      <c r="N241" s="482"/>
      <c r="O241" s="466"/>
      <c r="P241" s="492"/>
      <c r="Q241" s="493"/>
      <c r="R241" s="485"/>
      <c r="S241" s="492"/>
      <c r="T241" s="599" t="str">
        <f t="shared" si="283"/>
        <v/>
      </c>
      <c r="V241" s="599"/>
      <c r="W241" s="471">
        <f t="shared" ref="W241:X241" si="291">W240</f>
        <v>10</v>
      </c>
      <c r="X241" s="471" t="e">
        <f t="shared" si="291"/>
        <v>#REF!</v>
      </c>
      <c r="Y241" s="471" t="e">
        <f t="shared" si="286"/>
        <v>#REF!</v>
      </c>
      <c r="Z241" s="471"/>
      <c r="AA241" s="471"/>
    </row>
    <row r="242" spans="1:27" s="473" customFormat="1" ht="15.75" customHeight="1" x14ac:dyDescent="0.15">
      <c r="A242" s="599"/>
      <c r="B242" s="899" t="s">
        <v>375</v>
      </c>
      <c r="C242" s="900"/>
      <c r="D242" s="907" t="s">
        <v>356</v>
      </c>
      <c r="E242" s="908"/>
      <c r="F242" s="903" t="s">
        <v>806</v>
      </c>
      <c r="G242" s="913" t="s">
        <v>807</v>
      </c>
      <c r="H242" s="463" t="str">
        <f t="shared" si="282"/>
        <v>단위</v>
      </c>
      <c r="I242" s="623"/>
      <c r="J242" s="495" t="s">
        <v>348</v>
      </c>
      <c r="K242" s="496"/>
      <c r="L242" s="495" t="s">
        <v>349</v>
      </c>
      <c r="M242" s="496"/>
      <c r="N242" s="497" t="s">
        <v>240</v>
      </c>
      <c r="O242" s="497"/>
      <c r="P242" s="498"/>
      <c r="Q242" s="813" t="s">
        <v>355</v>
      </c>
      <c r="R242" s="813"/>
      <c r="S242" s="499"/>
      <c r="T242" s="599" t="str">
        <f t="shared" si="283"/>
        <v>비  고</v>
      </c>
      <c r="V242" s="631"/>
      <c r="W242" s="471">
        <f t="shared" ref="W242:X242" si="292">W241</f>
        <v>10</v>
      </c>
      <c r="X242" s="471" t="e">
        <f t="shared" si="292"/>
        <v>#REF!</v>
      </c>
      <c r="Y242" s="471" t="e">
        <f t="shared" si="286"/>
        <v>#REF!</v>
      </c>
      <c r="Z242" s="471"/>
      <c r="AA242" s="471"/>
    </row>
    <row r="243" spans="1:27" s="473" customFormat="1" ht="15.75" customHeight="1" x14ac:dyDescent="0.15">
      <c r="A243" s="599"/>
      <c r="B243" s="901"/>
      <c r="C243" s="902"/>
      <c r="D243" s="909"/>
      <c r="E243" s="910"/>
      <c r="F243" s="904"/>
      <c r="G243" s="914"/>
      <c r="H243" s="463" t="str">
        <f t="shared" si="282"/>
        <v/>
      </c>
      <c r="I243" s="624"/>
      <c r="J243" s="501" t="s">
        <v>353</v>
      </c>
      <c r="K243" s="501" t="s">
        <v>354</v>
      </c>
      <c r="L243" s="501" t="s">
        <v>353</v>
      </c>
      <c r="M243" s="749" t="s">
        <v>354</v>
      </c>
      <c r="N243" s="501" t="s">
        <v>353</v>
      </c>
      <c r="O243" s="501" t="s">
        <v>354</v>
      </c>
      <c r="P243" s="503"/>
      <c r="Q243" s="814"/>
      <c r="R243" s="814"/>
      <c r="S243" s="504"/>
      <c r="T243" s="599" t="str">
        <f t="shared" si="283"/>
        <v/>
      </c>
      <c r="V243" s="631"/>
      <c r="W243" s="471">
        <f t="shared" ref="W243:X243" si="293">W242</f>
        <v>10</v>
      </c>
      <c r="X243" s="471" t="e">
        <f t="shared" si="293"/>
        <v>#REF!</v>
      </c>
      <c r="Y243" s="471" t="e">
        <f t="shared" si="286"/>
        <v>#REF!</v>
      </c>
      <c r="Z243" s="471"/>
      <c r="AA243" s="471"/>
    </row>
    <row r="244" spans="1:27" s="473" customFormat="1" ht="15.75" customHeight="1" x14ac:dyDescent="0.15">
      <c r="A244" s="599"/>
      <c r="B244" s="670"/>
      <c r="C244" s="830" t="s">
        <v>1284</v>
      </c>
      <c r="D244" s="831"/>
      <c r="E244" s="832" t="s">
        <v>1285</v>
      </c>
      <c r="F244" s="796" t="s">
        <v>1286</v>
      </c>
      <c r="G244" s="801">
        <f>TRUNC((((2.8*8+3.2*7)/(2.8*3.2))*2+((8*7)/(2.8*3.2))*0.3)*0.03*0.03/0.00334,4)</f>
        <v>3.1998000000000002</v>
      </c>
      <c r="H244" s="463" t="str">
        <f t="shared" si="282"/>
        <v>라왕각재국산재</v>
      </c>
      <c r="I244" s="671" t="str">
        <f>CONCATENATE(C244,E244,F244)</f>
        <v>라왕각재국산재</v>
      </c>
      <c r="J244" s="506">
        <f>IF(OR($F244="인",$F244=""),"",VLOOKUP($H244,단가!$A:$S,19,FALSE))</f>
        <v>4228</v>
      </c>
      <c r="K244" s="507">
        <f t="shared" ref="K244:K248" si="294">IF(J244="","",TRUNC($G244*J244,0))</f>
        <v>13528</v>
      </c>
      <c r="L244" s="506" t="str">
        <f>IF($F244="인",VLOOKUP($C:$C,노임!$C:$G,4,FALSE),"")</f>
        <v/>
      </c>
      <c r="M244" s="507" t="str">
        <f t="shared" ref="M244:M248" si="295">IF(L244="","",TRUNC($G244*L244,0))</f>
        <v/>
      </c>
      <c r="N244" s="507"/>
      <c r="O244" s="507" t="str">
        <f t="shared" ref="O244:O248" si="296">IF(N244="","",TRUNC($G244*N244,0))</f>
        <v/>
      </c>
      <c r="P244" s="508"/>
      <c r="Q244" s="509" t="str">
        <f>IF(F244="인","노임"&amp;VLOOKUP($C:$C,노임!C:G,5,FALSE)&amp;"번","단가"&amp;VLOOKUP($H:$H,단가!$A:$B,2,FALSE)&amp;"번")</f>
        <v>단가9번</v>
      </c>
      <c r="R244" s="510"/>
      <c r="S244" s="131"/>
      <c r="T244" s="599" t="str">
        <f t="shared" si="283"/>
        <v>단가9번</v>
      </c>
      <c r="V244" s="549"/>
      <c r="W244" s="471">
        <f t="shared" ref="W244:X244" si="297">W243</f>
        <v>10</v>
      </c>
      <c r="X244" s="471" t="e">
        <f t="shared" si="297"/>
        <v>#REF!</v>
      </c>
      <c r="Y244" s="471" t="e">
        <f t="shared" si="286"/>
        <v>#REF!</v>
      </c>
      <c r="Z244" s="471"/>
      <c r="AA244" s="471"/>
    </row>
    <row r="245" spans="1:27" s="599" customFormat="1" ht="15.75" customHeight="1" x14ac:dyDescent="0.15">
      <c r="B245" s="670"/>
      <c r="C245" s="830" t="s">
        <v>1287</v>
      </c>
      <c r="D245" s="831"/>
      <c r="E245" s="832" t="s">
        <v>1288</v>
      </c>
      <c r="F245" s="796" t="s">
        <v>1289</v>
      </c>
      <c r="G245" s="801">
        <v>1</v>
      </c>
      <c r="H245" s="463" t="str">
        <f t="shared" si="282"/>
        <v>잡재료 및 소모재료주재료비의 5%식</v>
      </c>
      <c r="I245" s="671" t="str">
        <f>CONCATENATE(C245,E245,F245)</f>
        <v>잡재료 및 소모재료주재료비의 5%식</v>
      </c>
      <c r="J245" s="506">
        <f>TRUNC((K244)*5%,0)</f>
        <v>676</v>
      </c>
      <c r="K245" s="507">
        <f t="shared" si="294"/>
        <v>676</v>
      </c>
      <c r="L245" s="506" t="str">
        <f>IF($F245="인",VLOOKUP($C:$C,노임!$C:$G,4,FALSE),"")</f>
        <v/>
      </c>
      <c r="M245" s="507" t="str">
        <f t="shared" si="295"/>
        <v/>
      </c>
      <c r="N245" s="507"/>
      <c r="O245" s="507" t="str">
        <f t="shared" si="296"/>
        <v/>
      </c>
      <c r="P245" s="508"/>
      <c r="Q245" s="509"/>
      <c r="R245" s="510"/>
      <c r="S245" s="131"/>
      <c r="T245" s="599" t="str">
        <f t="shared" si="283"/>
        <v/>
      </c>
      <c r="V245" s="549"/>
      <c r="W245" s="471">
        <f t="shared" ref="W245:X245" si="298">W244</f>
        <v>10</v>
      </c>
      <c r="X245" s="471" t="e">
        <f t="shared" si="298"/>
        <v>#REF!</v>
      </c>
      <c r="Y245" s="471" t="e">
        <f t="shared" si="286"/>
        <v>#REF!</v>
      </c>
      <c r="Z245" s="471"/>
      <c r="AA245" s="471"/>
    </row>
    <row r="246" spans="1:27" s="599" customFormat="1" ht="15.75" customHeight="1" x14ac:dyDescent="0.15">
      <c r="B246" s="670"/>
      <c r="C246" s="797" t="s">
        <v>264</v>
      </c>
      <c r="D246" s="798"/>
      <c r="E246" s="799"/>
      <c r="F246" s="800" t="s">
        <v>364</v>
      </c>
      <c r="G246" s="801">
        <f>0.11*1.2</f>
        <v>0.13200000000000001</v>
      </c>
      <c r="H246" s="463" t="str">
        <f t="shared" si="282"/>
        <v>건축목공인</v>
      </c>
      <c r="I246" s="671" t="str">
        <f>CONCATENATE(C246,E246,F246)</f>
        <v>건축목공인</v>
      </c>
      <c r="J246" s="506" t="str">
        <f>IF(OR($F246="인",$F246=""),"",VLOOKUP($H246,단가!$A:$S,19,FALSE))</f>
        <v/>
      </c>
      <c r="K246" s="507" t="str">
        <f t="shared" si="294"/>
        <v/>
      </c>
      <c r="L246" s="506">
        <f>IF($F246="인",VLOOKUP($C:$C,노임!$C:$G,4,FALSE),"")</f>
        <v>169062</v>
      </c>
      <c r="M246" s="507">
        <f t="shared" si="295"/>
        <v>22316</v>
      </c>
      <c r="N246" s="507"/>
      <c r="O246" s="507" t="str">
        <f t="shared" si="296"/>
        <v/>
      </c>
      <c r="P246" s="508"/>
      <c r="Q246" s="509" t="str">
        <f>IF(F246="인","노임"&amp;VLOOKUP($C:$C,노임!C:G,5,FALSE)&amp;"번","단가"&amp;VLOOKUP($H:$H,단가!$A:$B,2,FALSE)&amp;"번")</f>
        <v>노임1023번</v>
      </c>
      <c r="R246" s="510"/>
      <c r="S246" s="131"/>
      <c r="T246" s="599" t="str">
        <f t="shared" si="283"/>
        <v>노임1023번</v>
      </c>
      <c r="V246" s="549"/>
      <c r="W246" s="471">
        <f t="shared" ref="W246:X246" si="299">W245</f>
        <v>10</v>
      </c>
      <c r="X246" s="471" t="e">
        <f t="shared" si="299"/>
        <v>#REF!</v>
      </c>
      <c r="Y246" s="471" t="e">
        <f t="shared" si="286"/>
        <v>#REF!</v>
      </c>
      <c r="Z246" s="471"/>
      <c r="AA246" s="471"/>
    </row>
    <row r="247" spans="1:27" s="599" customFormat="1" ht="15.75" customHeight="1" x14ac:dyDescent="0.15">
      <c r="B247" s="670"/>
      <c r="C247" s="797" t="s">
        <v>245</v>
      </c>
      <c r="D247" s="798"/>
      <c r="E247" s="799"/>
      <c r="F247" s="800" t="s">
        <v>364</v>
      </c>
      <c r="G247" s="801">
        <f>0.03*1.2</f>
        <v>3.5999999999999997E-2</v>
      </c>
      <c r="H247" s="463" t="str">
        <f t="shared" si="282"/>
        <v>보통인부인</v>
      </c>
      <c r="I247" s="671" t="str">
        <f>CONCATENATE(C247,E247,F247)</f>
        <v>보통인부인</v>
      </c>
      <c r="J247" s="506" t="str">
        <f>IF(OR($F247="인",$F247=""),"",VLOOKUP($H247,단가!$A:$S,19,FALSE))</f>
        <v/>
      </c>
      <c r="K247" s="507" t="str">
        <f t="shared" si="294"/>
        <v/>
      </c>
      <c r="L247" s="506">
        <f>IF($F247="인",VLOOKUP($C:$C,노임!$C:$G,4,FALSE),"")</f>
        <v>106846</v>
      </c>
      <c r="M247" s="507">
        <f t="shared" si="295"/>
        <v>3846</v>
      </c>
      <c r="N247" s="507"/>
      <c r="O247" s="507" t="str">
        <f t="shared" si="296"/>
        <v/>
      </c>
      <c r="P247" s="508"/>
      <c r="Q247" s="509" t="str">
        <f>IF(F247="인","노임"&amp;VLOOKUP($C:$C,노임!C:G,5,FALSE)&amp;"번","단가"&amp;VLOOKUP($H:$H,단가!$A:$B,2,FALSE)&amp;"번")</f>
        <v>노임1002번</v>
      </c>
      <c r="R247" s="510"/>
      <c r="S247" s="131"/>
      <c r="T247" s="599" t="str">
        <f t="shared" si="283"/>
        <v>노임1002번</v>
      </c>
      <c r="V247" s="549"/>
      <c r="W247" s="471">
        <f t="shared" ref="W247:X247" si="300">W246</f>
        <v>10</v>
      </c>
      <c r="X247" s="471" t="e">
        <f t="shared" si="300"/>
        <v>#REF!</v>
      </c>
      <c r="Y247" s="471" t="e">
        <f t="shared" si="286"/>
        <v>#REF!</v>
      </c>
      <c r="Z247" s="471"/>
      <c r="AA247" s="471"/>
    </row>
    <row r="248" spans="1:27" s="473" customFormat="1" ht="15.75" customHeight="1" x14ac:dyDescent="0.15">
      <c r="A248" s="599"/>
      <c r="B248" s="670"/>
      <c r="C248" s="830" t="s">
        <v>1290</v>
      </c>
      <c r="D248" s="831"/>
      <c r="E248" s="832" t="s">
        <v>1291</v>
      </c>
      <c r="F248" s="796" t="s">
        <v>1289</v>
      </c>
      <c r="G248" s="801">
        <v>1</v>
      </c>
      <c r="H248" s="463" t="str">
        <f t="shared" si="282"/>
        <v>공구손료인력품의 2%식</v>
      </c>
      <c r="I248" s="671"/>
      <c r="J248" s="506">
        <f>TRUNC((M246+M247)*2%,0)</f>
        <v>523</v>
      </c>
      <c r="K248" s="507">
        <f t="shared" si="294"/>
        <v>523</v>
      </c>
      <c r="L248" s="506"/>
      <c r="M248" s="507" t="str">
        <f t="shared" si="295"/>
        <v/>
      </c>
      <c r="N248" s="507"/>
      <c r="O248" s="507" t="str">
        <f t="shared" si="296"/>
        <v/>
      </c>
      <c r="P248" s="508"/>
      <c r="Q248" s="512"/>
      <c r="R248" s="534"/>
      <c r="S248" s="131"/>
      <c r="T248" s="599" t="str">
        <f t="shared" si="283"/>
        <v/>
      </c>
      <c r="V248" s="549"/>
      <c r="W248" s="471">
        <f t="shared" ref="W248:X248" si="301">W247</f>
        <v>10</v>
      </c>
      <c r="X248" s="471" t="e">
        <f t="shared" si="301"/>
        <v>#REF!</v>
      </c>
      <c r="Y248" s="471" t="e">
        <f t="shared" si="286"/>
        <v>#REF!</v>
      </c>
      <c r="Z248" s="471"/>
      <c r="AA248" s="471"/>
    </row>
    <row r="249" spans="1:27" s="599" customFormat="1" ht="15.75" customHeight="1" x14ac:dyDescent="0.15">
      <c r="B249" s="670"/>
      <c r="C249" s="797"/>
      <c r="D249" s="798"/>
      <c r="E249" s="799"/>
      <c r="F249" s="800"/>
      <c r="G249" s="801"/>
      <c r="H249" s="463" t="str">
        <f t="shared" si="282"/>
        <v/>
      </c>
      <c r="I249" s="671"/>
      <c r="J249" s="506"/>
      <c r="K249" s="507"/>
      <c r="L249" s="506"/>
      <c r="M249" s="507"/>
      <c r="N249" s="507"/>
      <c r="O249" s="507"/>
      <c r="P249" s="508"/>
      <c r="Q249" s="512"/>
      <c r="R249" s="513"/>
      <c r="S249" s="131"/>
      <c r="T249" s="599" t="str">
        <f t="shared" si="283"/>
        <v/>
      </c>
      <c r="V249" s="549"/>
      <c r="W249" s="471">
        <f t="shared" ref="W249:X249" si="302">W248</f>
        <v>10</v>
      </c>
      <c r="X249" s="471" t="e">
        <f t="shared" si="302"/>
        <v>#REF!</v>
      </c>
      <c r="Y249" s="471" t="e">
        <f t="shared" si="286"/>
        <v>#REF!</v>
      </c>
      <c r="Z249" s="471"/>
      <c r="AA249" s="471"/>
    </row>
    <row r="250" spans="1:27" s="599" customFormat="1" ht="15.75" customHeight="1" x14ac:dyDescent="0.15">
      <c r="B250" s="670"/>
      <c r="C250" s="140"/>
      <c r="D250" s="670"/>
      <c r="E250" s="643"/>
      <c r="F250" s="207"/>
      <c r="G250" s="801"/>
      <c r="H250" s="463" t="str">
        <f t="shared" si="282"/>
        <v/>
      </c>
      <c r="I250" s="671"/>
      <c r="J250" s="506"/>
      <c r="K250" s="507"/>
      <c r="L250" s="506"/>
      <c r="M250" s="507"/>
      <c r="N250" s="507"/>
      <c r="O250" s="507"/>
      <c r="P250" s="508"/>
      <c r="Q250" s="512"/>
      <c r="R250" s="513"/>
      <c r="S250" s="131"/>
      <c r="T250" s="599" t="str">
        <f t="shared" si="283"/>
        <v/>
      </c>
      <c r="V250" s="549"/>
      <c r="W250" s="471">
        <f t="shared" ref="W250:X250" si="303">W249</f>
        <v>10</v>
      </c>
      <c r="X250" s="471" t="e">
        <f t="shared" si="303"/>
        <v>#REF!</v>
      </c>
      <c r="Y250" s="471" t="e">
        <f t="shared" si="286"/>
        <v>#REF!</v>
      </c>
      <c r="Z250" s="471"/>
      <c r="AA250" s="471"/>
    </row>
    <row r="251" spans="1:27" s="599" customFormat="1" ht="15.75" customHeight="1" x14ac:dyDescent="0.15">
      <c r="B251" s="670"/>
      <c r="C251" s="140"/>
      <c r="D251" s="670"/>
      <c r="E251" s="643"/>
      <c r="F251" s="207"/>
      <c r="G251" s="505"/>
      <c r="H251" s="463" t="str">
        <f t="shared" si="282"/>
        <v/>
      </c>
      <c r="I251" s="671"/>
      <c r="J251" s="506"/>
      <c r="K251" s="507"/>
      <c r="L251" s="506"/>
      <c r="M251" s="507"/>
      <c r="N251" s="507"/>
      <c r="O251" s="507"/>
      <c r="P251" s="508"/>
      <c r="Q251" s="512"/>
      <c r="R251" s="513"/>
      <c r="S251" s="131"/>
      <c r="T251" s="599" t="str">
        <f t="shared" si="283"/>
        <v/>
      </c>
      <c r="V251" s="549"/>
      <c r="W251" s="471">
        <f t="shared" ref="W251:X251" si="304">W250</f>
        <v>10</v>
      </c>
      <c r="X251" s="471" t="e">
        <f t="shared" si="304"/>
        <v>#REF!</v>
      </c>
      <c r="Y251" s="471" t="e">
        <f t="shared" si="286"/>
        <v>#REF!</v>
      </c>
      <c r="Z251" s="471"/>
      <c r="AA251" s="471"/>
    </row>
    <row r="252" spans="1:27" s="599" customFormat="1" ht="15.75" customHeight="1" x14ac:dyDescent="0.15">
      <c r="B252" s="670"/>
      <c r="C252" s="140"/>
      <c r="D252" s="670"/>
      <c r="E252" s="643"/>
      <c r="F252" s="207"/>
      <c r="G252" s="505"/>
      <c r="H252" s="463" t="str">
        <f t="shared" si="282"/>
        <v/>
      </c>
      <c r="I252" s="671"/>
      <c r="J252" s="506"/>
      <c r="K252" s="507"/>
      <c r="L252" s="506"/>
      <c r="M252" s="507"/>
      <c r="N252" s="507"/>
      <c r="O252" s="507"/>
      <c r="P252" s="508"/>
      <c r="Q252" s="512"/>
      <c r="R252" s="513"/>
      <c r="S252" s="131"/>
      <c r="T252" s="599" t="str">
        <f t="shared" si="283"/>
        <v/>
      </c>
      <c r="V252" s="549"/>
      <c r="W252" s="471">
        <f t="shared" ref="W252:X252" si="305">W251</f>
        <v>10</v>
      </c>
      <c r="X252" s="471" t="e">
        <f t="shared" si="305"/>
        <v>#REF!</v>
      </c>
      <c r="Y252" s="471" t="e">
        <f t="shared" si="286"/>
        <v>#REF!</v>
      </c>
      <c r="Z252" s="471"/>
      <c r="AA252" s="471"/>
    </row>
    <row r="253" spans="1:27" s="599" customFormat="1" ht="15.75" customHeight="1" x14ac:dyDescent="0.15">
      <c r="B253" s="670"/>
      <c r="C253" s="140"/>
      <c r="D253" s="670"/>
      <c r="E253" s="643"/>
      <c r="F253" s="207"/>
      <c r="G253" s="505"/>
      <c r="H253" s="463" t="str">
        <f t="shared" si="282"/>
        <v/>
      </c>
      <c r="I253" s="671"/>
      <c r="J253" s="506"/>
      <c r="K253" s="507"/>
      <c r="L253" s="506"/>
      <c r="M253" s="507"/>
      <c r="N253" s="507"/>
      <c r="O253" s="507"/>
      <c r="P253" s="508"/>
      <c r="Q253" s="512"/>
      <c r="R253" s="513"/>
      <c r="S253" s="131"/>
      <c r="T253" s="599" t="str">
        <f t="shared" si="283"/>
        <v/>
      </c>
      <c r="V253" s="549"/>
      <c r="W253" s="471">
        <f t="shared" ref="W253:X253" si="306">W252</f>
        <v>10</v>
      </c>
      <c r="X253" s="471" t="e">
        <f t="shared" si="306"/>
        <v>#REF!</v>
      </c>
      <c r="Y253" s="471" t="e">
        <f t="shared" si="286"/>
        <v>#REF!</v>
      </c>
      <c r="Z253" s="471"/>
      <c r="AA253" s="471"/>
    </row>
    <row r="254" spans="1:27" s="599" customFormat="1" ht="15.75" customHeight="1" x14ac:dyDescent="0.15">
      <c r="B254" s="670"/>
      <c r="C254" s="562"/>
      <c r="D254" s="670"/>
      <c r="E254" s="643"/>
      <c r="F254" s="207"/>
      <c r="G254" s="505"/>
      <c r="H254" s="463" t="str">
        <f t="shared" si="282"/>
        <v/>
      </c>
      <c r="I254" s="671"/>
      <c r="J254" s="506"/>
      <c r="K254" s="507"/>
      <c r="L254" s="506"/>
      <c r="M254" s="507"/>
      <c r="N254" s="507"/>
      <c r="O254" s="507"/>
      <c r="P254" s="508"/>
      <c r="Q254" s="512"/>
      <c r="R254" s="513"/>
      <c r="S254" s="131"/>
      <c r="T254" s="599" t="str">
        <f t="shared" si="283"/>
        <v/>
      </c>
      <c r="V254" s="549"/>
      <c r="W254" s="471">
        <f t="shared" ref="W254:X254" si="307">W253</f>
        <v>10</v>
      </c>
      <c r="X254" s="471" t="e">
        <f t="shared" si="307"/>
        <v>#REF!</v>
      </c>
      <c r="Y254" s="471" t="e">
        <f t="shared" si="286"/>
        <v>#REF!</v>
      </c>
      <c r="Z254" s="471"/>
      <c r="AA254" s="471"/>
    </row>
    <row r="255" spans="1:27" s="599" customFormat="1" ht="15.75" customHeight="1" x14ac:dyDescent="0.15">
      <c r="B255" s="670"/>
      <c r="C255" s="140"/>
      <c r="D255" s="670"/>
      <c r="E255" s="643"/>
      <c r="F255" s="207"/>
      <c r="G255" s="505"/>
      <c r="H255" s="463" t="str">
        <f t="shared" si="282"/>
        <v/>
      </c>
      <c r="I255" s="671"/>
      <c r="J255" s="506"/>
      <c r="K255" s="507"/>
      <c r="L255" s="506"/>
      <c r="M255" s="507"/>
      <c r="N255" s="507"/>
      <c r="O255" s="507"/>
      <c r="P255" s="508"/>
      <c r="Q255" s="512"/>
      <c r="R255" s="513"/>
      <c r="S255" s="131"/>
      <c r="T255" s="599" t="str">
        <f t="shared" si="283"/>
        <v/>
      </c>
      <c r="V255" s="549"/>
      <c r="W255" s="471">
        <f t="shared" ref="W255:X255" si="308">W254</f>
        <v>10</v>
      </c>
      <c r="X255" s="471" t="e">
        <f t="shared" si="308"/>
        <v>#REF!</v>
      </c>
      <c r="Y255" s="471" t="e">
        <f t="shared" si="286"/>
        <v>#REF!</v>
      </c>
      <c r="Z255" s="471"/>
      <c r="AA255" s="471"/>
    </row>
    <row r="256" spans="1:27" s="599" customFormat="1" ht="15.75" customHeight="1" x14ac:dyDescent="0.15">
      <c r="B256" s="670"/>
      <c r="C256" s="562" t="s">
        <v>1294</v>
      </c>
      <c r="D256" s="670"/>
      <c r="E256" s="643"/>
      <c r="F256" s="207"/>
      <c r="G256" s="505"/>
      <c r="H256" s="463" t="str">
        <f t="shared" si="282"/>
        <v>- 각재소요량 : (((2.8*8+3.2*7)/(2.8*3.2))*2+((8*7)/(2.8*3.2))*0.3)*0.03*0.03/0.00334</v>
      </c>
      <c r="I256" s="671"/>
      <c r="J256" s="506"/>
      <c r="K256" s="507"/>
      <c r="L256" s="506"/>
      <c r="M256" s="507"/>
      <c r="N256" s="507"/>
      <c r="O256" s="507"/>
      <c r="P256" s="508"/>
      <c r="Q256" s="512"/>
      <c r="R256" s="513"/>
      <c r="S256" s="131"/>
      <c r="T256" s="599" t="str">
        <f t="shared" si="283"/>
        <v/>
      </c>
      <c r="V256" s="549"/>
      <c r="W256" s="471">
        <f t="shared" ref="W256:X256" si="309">W255</f>
        <v>10</v>
      </c>
      <c r="X256" s="471" t="e">
        <f t="shared" si="309"/>
        <v>#REF!</v>
      </c>
      <c r="Y256" s="471" t="e">
        <f t="shared" si="286"/>
        <v>#REF!</v>
      </c>
      <c r="Z256" s="471"/>
      <c r="AA256" s="471"/>
    </row>
    <row r="257" spans="1:27" s="599" customFormat="1" ht="15.75" customHeight="1" x14ac:dyDescent="0.15">
      <c r="B257" s="670"/>
      <c r="C257" s="140"/>
      <c r="D257" s="670"/>
      <c r="E257" s="643"/>
      <c r="F257" s="207"/>
      <c r="G257" s="505"/>
      <c r="H257" s="463" t="str">
        <f t="shared" si="282"/>
        <v/>
      </c>
      <c r="I257" s="671"/>
      <c r="J257" s="506"/>
      <c r="K257" s="507"/>
      <c r="L257" s="506"/>
      <c r="M257" s="507"/>
      <c r="N257" s="507"/>
      <c r="O257" s="507"/>
      <c r="P257" s="508"/>
      <c r="Q257" s="512"/>
      <c r="R257" s="513"/>
      <c r="S257" s="131"/>
      <c r="T257" s="599" t="str">
        <f t="shared" si="283"/>
        <v/>
      </c>
      <c r="V257" s="549"/>
      <c r="W257" s="471">
        <f t="shared" ref="W257:X257" si="310">W256</f>
        <v>10</v>
      </c>
      <c r="X257" s="471" t="e">
        <f t="shared" si="310"/>
        <v>#REF!</v>
      </c>
      <c r="Y257" s="471" t="e">
        <f t="shared" si="286"/>
        <v>#REF!</v>
      </c>
      <c r="Z257" s="471"/>
      <c r="AA257" s="471"/>
    </row>
    <row r="258" spans="1:27" s="599" customFormat="1" ht="15.75" customHeight="1" x14ac:dyDescent="0.15">
      <c r="A258" s="473"/>
      <c r="B258" s="514" t="s">
        <v>751</v>
      </c>
      <c r="C258" s="515"/>
      <c r="D258" s="516"/>
      <c r="E258" s="517"/>
      <c r="F258" s="518"/>
      <c r="G258" s="519"/>
      <c r="H258" s="463" t="str">
        <f t="shared" si="282"/>
        <v/>
      </c>
      <c r="I258" s="520">
        <f>목록!$B$15</f>
        <v>10</v>
      </c>
      <c r="J258" s="521"/>
      <c r="K258" s="522">
        <f>SUM(K244:K257)</f>
        <v>14727</v>
      </c>
      <c r="L258" s="521"/>
      <c r="M258" s="522">
        <f>SUM(M244:M257)</f>
        <v>26162</v>
      </c>
      <c r="N258" s="521"/>
      <c r="O258" s="522">
        <f>SUM(O244:O257)</f>
        <v>0</v>
      </c>
      <c r="P258" s="523"/>
      <c r="Q258" s="512"/>
      <c r="R258" s="513"/>
      <c r="S258" s="524"/>
      <c r="T258" s="599" t="str">
        <f t="shared" si="283"/>
        <v/>
      </c>
      <c r="V258" s="631"/>
      <c r="W258" s="471">
        <f t="shared" ref="W258:X258" si="311">W257</f>
        <v>10</v>
      </c>
      <c r="X258" s="471" t="e">
        <f t="shared" si="311"/>
        <v>#REF!</v>
      </c>
      <c r="Y258" s="471" t="e">
        <f t="shared" si="286"/>
        <v>#REF!</v>
      </c>
      <c r="Z258" s="471"/>
      <c r="AA258" s="471"/>
    </row>
    <row r="259" spans="1:27" s="599" customFormat="1" ht="15.75" customHeight="1" x14ac:dyDescent="0.15">
      <c r="B259" s="453"/>
      <c r="C259" s="802" t="s">
        <v>1292</v>
      </c>
      <c r="D259" s="670"/>
      <c r="E259" s="643"/>
      <c r="F259" s="207"/>
      <c r="G259" s="505"/>
      <c r="H259" s="463" t="str">
        <f t="shared" si="282"/>
        <v>※ 건축표준품셈 : 11-1-3 건축물 내부목공사 2. 간막이벽틀 준용</v>
      </c>
      <c r="I259" s="671"/>
      <c r="J259" s="506"/>
      <c r="K259" s="507"/>
      <c r="L259" s="506"/>
      <c r="M259" s="507"/>
      <c r="N259" s="507"/>
      <c r="O259" s="507"/>
      <c r="P259" s="508"/>
      <c r="Q259" s="512"/>
      <c r="R259" s="513"/>
      <c r="S259" s="131"/>
      <c r="T259" s="599" t="str">
        <f t="shared" si="283"/>
        <v/>
      </c>
      <c r="W259" s="615">
        <f t="shared" ref="W259:X259" si="312">W258</f>
        <v>10</v>
      </c>
      <c r="X259" s="471" t="e">
        <f t="shared" si="312"/>
        <v>#REF!</v>
      </c>
      <c r="Y259" s="471" t="e">
        <f t="shared" si="286"/>
        <v>#REF!</v>
      </c>
      <c r="Z259" s="471"/>
      <c r="AA259" s="471"/>
    </row>
    <row r="260" spans="1:27" s="473" customFormat="1" ht="15.75" customHeight="1" x14ac:dyDescent="0.15">
      <c r="A260" s="599"/>
      <c r="B260" s="453"/>
      <c r="C260" s="802" t="s">
        <v>1433</v>
      </c>
      <c r="D260" s="670"/>
      <c r="E260" s="643"/>
      <c r="F260" s="207"/>
      <c r="G260" s="505"/>
      <c r="H260" s="463" t="str">
        <f t="shared" si="282"/>
        <v>※ 집기/하우징 제작을 위한 소요 공수 추가할증 : 벽틀대비 120% 적용</v>
      </c>
      <c r="I260" s="671"/>
      <c r="J260" s="506"/>
      <c r="K260" s="507"/>
      <c r="L260" s="506"/>
      <c r="M260" s="507"/>
      <c r="N260" s="507"/>
      <c r="O260" s="507"/>
      <c r="P260" s="508"/>
      <c r="Q260" s="512"/>
      <c r="R260" s="513"/>
      <c r="S260" s="131"/>
      <c r="T260" s="599" t="str">
        <f t="shared" si="283"/>
        <v/>
      </c>
      <c r="V260" s="599"/>
      <c r="W260" s="471">
        <f t="shared" ref="W260:X260" si="313">W259</f>
        <v>10</v>
      </c>
      <c r="X260" s="471" t="e">
        <f t="shared" si="313"/>
        <v>#REF!</v>
      </c>
      <c r="Y260" s="471" t="e">
        <f t="shared" si="286"/>
        <v>#REF!</v>
      </c>
      <c r="Z260" s="471"/>
      <c r="AA260" s="471"/>
    </row>
    <row r="261" spans="1:27" s="599" customFormat="1" ht="15.75" customHeight="1" x14ac:dyDescent="0.15">
      <c r="A261" s="473"/>
      <c r="B261" s="514"/>
      <c r="C261" s="802" t="s">
        <v>1293</v>
      </c>
      <c r="D261" s="516"/>
      <c r="E261" s="517"/>
      <c r="F261" s="518"/>
      <c r="G261" s="519"/>
      <c r="H261" s="463" t="str">
        <f t="shared" si="282"/>
        <v xml:space="preserve">   1재=12자 * 1치 *1치 = 0.00334㎥ = 3.636m * 0.0303m * 0.0303</v>
      </c>
      <c r="I261" s="520"/>
      <c r="J261" s="521"/>
      <c r="K261" s="522"/>
      <c r="L261" s="521"/>
      <c r="M261" s="522"/>
      <c r="N261" s="521"/>
      <c r="O261" s="522"/>
      <c r="P261" s="523"/>
      <c r="Q261" s="512"/>
      <c r="R261" s="513"/>
      <c r="S261" s="524"/>
      <c r="T261" s="599" t="str">
        <f t="shared" si="283"/>
        <v/>
      </c>
      <c r="V261" s="631"/>
      <c r="W261" s="471">
        <f t="shared" ref="W261:X261" si="314">W260</f>
        <v>10</v>
      </c>
      <c r="X261" s="471" t="e">
        <f t="shared" si="314"/>
        <v>#REF!</v>
      </c>
      <c r="Y261" s="471" t="e">
        <f t="shared" si="286"/>
        <v>#REF!</v>
      </c>
      <c r="Z261" s="471"/>
      <c r="AA261" s="471"/>
    </row>
    <row r="262" spans="1:27" s="470" customFormat="1" ht="15.75" customHeight="1" x14ac:dyDescent="0.15">
      <c r="A262" s="457"/>
      <c r="B262" s="457"/>
      <c r="C262" s="458"/>
      <c r="D262" s="459"/>
      <c r="E262" s="460"/>
      <c r="F262" s="461"/>
      <c r="G262" s="462"/>
      <c r="H262" s="463" t="str">
        <f t="shared" ref="H262:H269" si="315">CONCATENATE(C262,E262,F262)</f>
        <v/>
      </c>
      <c r="I262" s="464"/>
      <c r="J262" s="465"/>
      <c r="K262" s="465"/>
      <c r="L262" s="465"/>
      <c r="M262" s="465"/>
      <c r="N262" s="465"/>
      <c r="O262" s="466"/>
      <c r="P262" s="467"/>
      <c r="Q262" s="468"/>
      <c r="R262" s="469"/>
      <c r="S262" s="467"/>
      <c r="T262" s="470" t="str">
        <f t="shared" ref="T262:T287" si="316">CONCATENATE(Q262,R262)</f>
        <v/>
      </c>
      <c r="W262" s="533">
        <f t="shared" ref="W262" si="317">I284</f>
        <v>11</v>
      </c>
      <c r="X262" s="533" t="e">
        <f t="shared" ref="X262" si="318">X235+1</f>
        <v>#REF!</v>
      </c>
      <c r="Y262" s="533" t="e">
        <f t="shared" si="214"/>
        <v>#REF!</v>
      </c>
      <c r="Z262" s="533"/>
      <c r="AA262" s="533"/>
    </row>
    <row r="263" spans="1:27" s="457" customFormat="1" ht="15.75" customHeight="1" x14ac:dyDescent="0.15">
      <c r="B263" s="473"/>
      <c r="C263" s="474" t="str">
        <f>"   항목번호 : "&amp;목록!L$16</f>
        <v xml:space="preserve">   항목번호 : 제11호표</v>
      </c>
      <c r="D263" s="475">
        <f>목록!B$16</f>
        <v>11</v>
      </c>
      <c r="E263" s="476"/>
      <c r="F263" s="477"/>
      <c r="G263" s="478"/>
      <c r="H263" s="463" t="str">
        <f t="shared" si="315"/>
        <v xml:space="preserve">   항목번호 : 제11호표</v>
      </c>
      <c r="I263" s="479"/>
      <c r="J263" s="480"/>
      <c r="K263" s="481"/>
      <c r="L263" s="482"/>
      <c r="M263" s="482"/>
      <c r="N263" s="482"/>
      <c r="O263" s="466"/>
      <c r="P263" s="483"/>
      <c r="Q263" s="484"/>
      <c r="R263" s="485"/>
      <c r="S263" s="483"/>
      <c r="T263" s="470" t="str">
        <f t="shared" si="316"/>
        <v/>
      </c>
      <c r="V263" s="547"/>
      <c r="W263" s="471">
        <f t="shared" ref="W263:X263" si="319">W262</f>
        <v>11</v>
      </c>
      <c r="X263" s="471" t="e">
        <f t="shared" si="319"/>
        <v>#REF!</v>
      </c>
      <c r="Y263" s="471" t="e">
        <f t="shared" si="214"/>
        <v>#REF!</v>
      </c>
      <c r="Z263" s="471"/>
      <c r="AA263" s="471"/>
    </row>
    <row r="264" spans="1:27" s="457" customFormat="1" ht="15.75" customHeight="1" x14ac:dyDescent="0.15">
      <c r="B264" s="473"/>
      <c r="C264" s="474" t="str">
        <f>"   공      종 : "&amp;목록!D$16</f>
        <v xml:space="preserve">   공      종 : 합판취부(벽체)</v>
      </c>
      <c r="D264" s="484"/>
      <c r="E264" s="476"/>
      <c r="F264" s="473"/>
      <c r="G264" s="478"/>
      <c r="H264" s="463" t="str">
        <f t="shared" si="315"/>
        <v xml:space="preserve">   공      종 : 합판취부(벽체)</v>
      </c>
      <c r="I264" s="479"/>
      <c r="J264" s="480"/>
      <c r="K264" s="481"/>
      <c r="L264" s="482"/>
      <c r="M264" s="482"/>
      <c r="N264" s="482"/>
      <c r="O264" s="466"/>
      <c r="P264" s="483"/>
      <c r="Q264" s="484"/>
      <c r="R264" s="485"/>
      <c r="S264" s="483"/>
      <c r="T264" s="470" t="str">
        <f t="shared" si="316"/>
        <v/>
      </c>
      <c r="V264" s="547"/>
      <c r="W264" s="471">
        <f t="shared" ref="W264:X264" si="320">W263</f>
        <v>11</v>
      </c>
      <c r="X264" s="471" t="e">
        <f t="shared" si="320"/>
        <v>#REF!</v>
      </c>
      <c r="Y264" s="471" t="e">
        <f t="shared" si="214"/>
        <v>#REF!</v>
      </c>
      <c r="Z264" s="471"/>
      <c r="AA264" s="471"/>
    </row>
    <row r="265" spans="1:27" s="457" customFormat="1" ht="15.75" customHeight="1" x14ac:dyDescent="0.15">
      <c r="B265" s="473"/>
      <c r="C265" s="474" t="str">
        <f xml:space="preserve"> "   규      격 : "&amp;목록!F$16</f>
        <v xml:space="preserve">   규      격 : THK=8.5mm * 1PLY, 바탕</v>
      </c>
      <c r="D265" s="484"/>
      <c r="E265" s="476"/>
      <c r="F265" s="473"/>
      <c r="G265" s="478"/>
      <c r="H265" s="463" t="str">
        <f t="shared" si="315"/>
        <v xml:space="preserve">   규      격 : THK=8.5mm * 1PLY, 바탕</v>
      </c>
      <c r="I265" s="479"/>
      <c r="J265" s="480" t="s">
        <v>348</v>
      </c>
      <c r="K265" s="481"/>
      <c r="L265" s="482" t="s">
        <v>349</v>
      </c>
      <c r="M265" s="482"/>
      <c r="N265" s="482" t="s">
        <v>240</v>
      </c>
      <c r="O265" s="466"/>
      <c r="P265" s="483"/>
      <c r="Q265" s="484" t="s">
        <v>808</v>
      </c>
      <c r="R265" s="484"/>
      <c r="S265" s="483"/>
      <c r="T265" s="470" t="str">
        <f t="shared" si="316"/>
        <v>합계</v>
      </c>
      <c r="V265" s="547"/>
      <c r="W265" s="471">
        <f t="shared" ref="W265:X265" si="321">W264</f>
        <v>11</v>
      </c>
      <c r="X265" s="471" t="e">
        <f t="shared" si="321"/>
        <v>#REF!</v>
      </c>
      <c r="Y265" s="471" t="e">
        <f t="shared" si="214"/>
        <v>#REF!</v>
      </c>
      <c r="Z265" s="471"/>
      <c r="AA265" s="471"/>
    </row>
    <row r="266" spans="1:27" s="457" customFormat="1" ht="15.75" customHeight="1" x14ac:dyDescent="0.15">
      <c r="B266" s="473"/>
      <c r="C266" s="474" t="str">
        <f>"   단      위 : "&amp;목록!G$16</f>
        <v xml:space="preserve">   단      위 : ㎡</v>
      </c>
      <c r="D266" s="484"/>
      <c r="E266" s="476"/>
      <c r="F266" s="473"/>
      <c r="G266" s="478"/>
      <c r="H266" s="463" t="str">
        <f t="shared" si="315"/>
        <v xml:space="preserve">   단      위 : ㎡</v>
      </c>
      <c r="I266" s="479"/>
      <c r="J266" s="486">
        <f>K284</f>
        <v>7874</v>
      </c>
      <c r="K266" s="481"/>
      <c r="L266" s="487">
        <f>M284</f>
        <v>10784</v>
      </c>
      <c r="M266" s="482"/>
      <c r="N266" s="482">
        <f>O284</f>
        <v>0</v>
      </c>
      <c r="O266" s="466"/>
      <c r="P266" s="483"/>
      <c r="Q266" s="488">
        <f>J266+L266+N266</f>
        <v>18658</v>
      </c>
      <c r="R266" s="489"/>
      <c r="S266" s="483"/>
      <c r="T266" s="470" t="str">
        <f t="shared" si="316"/>
        <v>18658</v>
      </c>
      <c r="V266" s="547"/>
      <c r="W266" s="471">
        <f t="shared" ref="W266:X266" si="322">W265</f>
        <v>11</v>
      </c>
      <c r="X266" s="471" t="e">
        <f t="shared" si="322"/>
        <v>#REF!</v>
      </c>
      <c r="Y266" s="471" t="e">
        <f t="shared" si="214"/>
        <v>#REF!</v>
      </c>
      <c r="Z266" s="471"/>
      <c r="AA266" s="471"/>
    </row>
    <row r="267" spans="1:27" s="457" customFormat="1" ht="15.75" customHeight="1" x14ac:dyDescent="0.15">
      <c r="B267" s="473"/>
      <c r="C267" s="474"/>
      <c r="D267" s="484"/>
      <c r="E267" s="476"/>
      <c r="F267" s="473"/>
      <c r="G267" s="490"/>
      <c r="H267" s="463" t="str">
        <f t="shared" si="315"/>
        <v/>
      </c>
      <c r="I267" s="491"/>
      <c r="J267" s="482"/>
      <c r="K267" s="465"/>
      <c r="L267" s="482"/>
      <c r="M267" s="482"/>
      <c r="N267" s="482"/>
      <c r="O267" s="466"/>
      <c r="P267" s="492"/>
      <c r="Q267" s="493"/>
      <c r="R267" s="485"/>
      <c r="S267" s="492"/>
      <c r="T267" s="470" t="str">
        <f t="shared" si="316"/>
        <v/>
      </c>
      <c r="V267" s="547"/>
      <c r="W267" s="471">
        <f t="shared" ref="W267:X267" si="323">W266</f>
        <v>11</v>
      </c>
      <c r="X267" s="471" t="e">
        <f t="shared" si="323"/>
        <v>#REF!</v>
      </c>
      <c r="Y267" s="471" t="e">
        <f t="shared" si="214"/>
        <v>#REF!</v>
      </c>
      <c r="Z267" s="471"/>
      <c r="AA267" s="471"/>
    </row>
    <row r="268" spans="1:27" s="457" customFormat="1" ht="15.75" customHeight="1" x14ac:dyDescent="0.15">
      <c r="A268" s="547"/>
      <c r="B268" s="899" t="s">
        <v>375</v>
      </c>
      <c r="C268" s="900"/>
      <c r="D268" s="907" t="s">
        <v>356</v>
      </c>
      <c r="E268" s="908"/>
      <c r="F268" s="903" t="s">
        <v>809</v>
      </c>
      <c r="G268" s="913" t="s">
        <v>810</v>
      </c>
      <c r="H268" s="463" t="str">
        <f t="shared" si="315"/>
        <v>단위</v>
      </c>
      <c r="I268" s="494"/>
      <c r="J268" s="495" t="s">
        <v>348</v>
      </c>
      <c r="K268" s="496"/>
      <c r="L268" s="495" t="s">
        <v>349</v>
      </c>
      <c r="M268" s="496"/>
      <c r="N268" s="497" t="s">
        <v>240</v>
      </c>
      <c r="O268" s="497"/>
      <c r="P268" s="498"/>
      <c r="Q268" s="744" t="s">
        <v>355</v>
      </c>
      <c r="R268" s="744"/>
      <c r="S268" s="499"/>
      <c r="T268" s="470" t="str">
        <f t="shared" si="316"/>
        <v>비  고</v>
      </c>
      <c r="V268" s="548"/>
      <c r="W268" s="471">
        <f t="shared" ref="W268:X268" si="324">W267</f>
        <v>11</v>
      </c>
      <c r="X268" s="471" t="e">
        <f t="shared" si="324"/>
        <v>#REF!</v>
      </c>
      <c r="Y268" s="471" t="e">
        <f t="shared" si="214"/>
        <v>#REF!</v>
      </c>
      <c r="Z268" s="471"/>
      <c r="AA268" s="471"/>
    </row>
    <row r="269" spans="1:27" s="457" customFormat="1" ht="15.75" customHeight="1" x14ac:dyDescent="0.15">
      <c r="A269" s="547"/>
      <c r="B269" s="901"/>
      <c r="C269" s="902"/>
      <c r="D269" s="909"/>
      <c r="E269" s="910"/>
      <c r="F269" s="904"/>
      <c r="G269" s="914"/>
      <c r="H269" s="463" t="str">
        <f t="shared" si="315"/>
        <v/>
      </c>
      <c r="I269" s="500"/>
      <c r="J269" s="501" t="s">
        <v>353</v>
      </c>
      <c r="K269" s="501" t="s">
        <v>354</v>
      </c>
      <c r="L269" s="501" t="s">
        <v>353</v>
      </c>
      <c r="M269" s="502" t="s">
        <v>354</v>
      </c>
      <c r="N269" s="501" t="s">
        <v>353</v>
      </c>
      <c r="O269" s="501" t="s">
        <v>354</v>
      </c>
      <c r="P269" s="503"/>
      <c r="Q269" s="745"/>
      <c r="R269" s="745"/>
      <c r="S269" s="504"/>
      <c r="T269" s="470" t="str">
        <f t="shared" si="316"/>
        <v/>
      </c>
      <c r="V269" s="548"/>
      <c r="W269" s="471">
        <f t="shared" ref="W269:X269" si="325">W268</f>
        <v>11</v>
      </c>
      <c r="X269" s="471" t="e">
        <f t="shared" si="325"/>
        <v>#REF!</v>
      </c>
      <c r="Y269" s="471" t="e">
        <f t="shared" si="214"/>
        <v>#REF!</v>
      </c>
      <c r="Z269" s="471"/>
      <c r="AA269" s="471"/>
    </row>
    <row r="270" spans="1:27" s="457" customFormat="1" ht="15.75" customHeight="1" x14ac:dyDescent="0.15">
      <c r="A270" s="470"/>
      <c r="B270" s="95"/>
      <c r="C270" s="140" t="s">
        <v>773</v>
      </c>
      <c r="D270" s="95"/>
      <c r="E270" s="541" t="s">
        <v>823</v>
      </c>
      <c r="F270" s="94" t="s">
        <v>768</v>
      </c>
      <c r="G270" s="505">
        <f>TRUNC(1*103%,4)</f>
        <v>1.03</v>
      </c>
      <c r="H270" s="463" t="str">
        <f t="shared" ref="H270:H287" si="326">CONCATENATE(C270,E270,F270)</f>
        <v>합판THK=8.5mm*4'*8'(준내수)㎡</v>
      </c>
      <c r="I270" s="451" t="str">
        <f>CONCATENATE(C270,E270,F270)</f>
        <v>합판THK=8.5mm*4'*8'(준내수)㎡</v>
      </c>
      <c r="J270" s="506">
        <f>IF(OR($F270="인",$F270=""),"",VLOOKUP($H270,단가!$A:$S,19,FALSE))</f>
        <v>7083</v>
      </c>
      <c r="K270" s="507">
        <f>IF(J270="","",TRUNC($G270*J270,0))</f>
        <v>7295</v>
      </c>
      <c r="L270" s="506" t="str">
        <f>IF($F270="인",VLOOKUP($C:$C,노임!$C:$G,4,FALSE),"")</f>
        <v/>
      </c>
      <c r="M270" s="507" t="str">
        <f>IF(L270="","",TRUNC($G270*L270,0))</f>
        <v/>
      </c>
      <c r="N270" s="507"/>
      <c r="O270" s="507" t="str">
        <f>IF(N270="","",TRUNC($G270*N270,0))</f>
        <v/>
      </c>
      <c r="P270" s="508"/>
      <c r="Q270" s="509" t="str">
        <f>IF(F270="인","노임"&amp;VLOOKUP($C:$C,노임!C:G,5,FALSE)&amp;"번","단가"&amp;VLOOKUP($H:$H,단가!$A:$B,2,FALSE)&amp;"번")</f>
        <v>단가46번</v>
      </c>
      <c r="R270" s="510"/>
      <c r="S270" s="131"/>
      <c r="T270" s="470" t="str">
        <f t="shared" si="316"/>
        <v>단가46번</v>
      </c>
      <c r="V270" s="549"/>
      <c r="W270" s="471">
        <f t="shared" ref="W270:X270" si="327">W269</f>
        <v>11</v>
      </c>
      <c r="X270" s="471" t="e">
        <f t="shared" si="327"/>
        <v>#REF!</v>
      </c>
      <c r="Y270" s="471" t="e">
        <f t="shared" si="214"/>
        <v>#REF!</v>
      </c>
      <c r="Z270" s="471"/>
      <c r="AA270" s="471"/>
    </row>
    <row r="271" spans="1:27" s="457" customFormat="1" ht="15.75" customHeight="1" x14ac:dyDescent="0.15">
      <c r="A271" s="470"/>
      <c r="B271" s="95"/>
      <c r="C271" s="140" t="s">
        <v>572</v>
      </c>
      <c r="D271" s="95"/>
      <c r="E271" s="541" t="s">
        <v>573</v>
      </c>
      <c r="F271" s="94" t="s">
        <v>1017</v>
      </c>
      <c r="G271" s="505">
        <v>1</v>
      </c>
      <c r="H271" s="463" t="str">
        <f>CONCATENATE(C271,E271,F271)</f>
        <v>잡재료 및 소모재료주재료비의 5%식</v>
      </c>
      <c r="I271" s="451" t="str">
        <f>CONCATENATE(C271,E271,F271)</f>
        <v>잡재료 및 소모재료주재료비의 5%식</v>
      </c>
      <c r="J271" s="506">
        <f>TRUNC((K270)*5%,0)</f>
        <v>364</v>
      </c>
      <c r="K271" s="507">
        <f>IF(J271="","",TRUNC($G271*J271,0))</f>
        <v>364</v>
      </c>
      <c r="L271" s="506" t="str">
        <f>IF($F271="인",VLOOKUP($C:$C,노임!$C:$G,4,FALSE),"")</f>
        <v/>
      </c>
      <c r="M271" s="507" t="str">
        <f>IF(L271="","",TRUNC($G271*L271,0))</f>
        <v/>
      </c>
      <c r="N271" s="507"/>
      <c r="O271" s="507" t="str">
        <f>IF(N271="","",TRUNC($G271*N271,0))</f>
        <v/>
      </c>
      <c r="P271" s="508"/>
      <c r="Q271" s="509"/>
      <c r="R271" s="510"/>
      <c r="S271" s="131"/>
      <c r="T271" s="470" t="str">
        <f t="shared" si="316"/>
        <v/>
      </c>
      <c r="V271" s="549"/>
      <c r="W271" s="471">
        <f t="shared" ref="W271:X271" si="328">W270</f>
        <v>11</v>
      </c>
      <c r="X271" s="471" t="e">
        <f t="shared" si="328"/>
        <v>#REF!</v>
      </c>
      <c r="Y271" s="471" t="e">
        <f t="shared" si="214"/>
        <v>#REF!</v>
      </c>
      <c r="Z271" s="471"/>
      <c r="AA271" s="471"/>
    </row>
    <row r="272" spans="1:27" s="457" customFormat="1" ht="15.75" customHeight="1" x14ac:dyDescent="0.15">
      <c r="A272" s="470"/>
      <c r="B272" s="95"/>
      <c r="C272" s="140" t="s">
        <v>749</v>
      </c>
      <c r="D272" s="95"/>
      <c r="E272" s="141"/>
      <c r="F272" s="94" t="s">
        <v>750</v>
      </c>
      <c r="G272" s="505">
        <v>0.06</v>
      </c>
      <c r="H272" s="463" t="str">
        <f t="shared" si="326"/>
        <v>건축목공인</v>
      </c>
      <c r="I272" s="451" t="str">
        <f>CONCATENATE(C272,E272,F272)</f>
        <v>건축목공인</v>
      </c>
      <c r="J272" s="506" t="str">
        <f>IF(OR($F272="인",$F272=""),"",VLOOKUP($H272,단가!$A:$S,19,FALSE))</f>
        <v/>
      </c>
      <c r="K272" s="507" t="str">
        <f>IF(J272="","",TRUNC($G272*J272,0))</f>
        <v/>
      </c>
      <c r="L272" s="506">
        <f>IF($F272="인",VLOOKUP($C:$C,노임!$C:$G,4,FALSE),"")</f>
        <v>169062</v>
      </c>
      <c r="M272" s="507">
        <f>IF(L272="","",TRUNC($G272*L272,0))</f>
        <v>10143</v>
      </c>
      <c r="N272" s="507"/>
      <c r="O272" s="507" t="str">
        <f>IF(N272="","",TRUNC($G272*N272,0))</f>
        <v/>
      </c>
      <c r="P272" s="508"/>
      <c r="Q272" s="509" t="str">
        <f>IF(F272="인","노임"&amp;VLOOKUP($C:$C,노임!C:G,5,FALSE)&amp;"번","단가"&amp;VLOOKUP($H:$H,단가!$A:$B,2,FALSE)&amp;"번")</f>
        <v>노임1023번</v>
      </c>
      <c r="R272" s="510"/>
      <c r="S272" s="131"/>
      <c r="T272" s="470" t="str">
        <f t="shared" si="316"/>
        <v>노임1023번</v>
      </c>
      <c r="V272" s="549"/>
      <c r="W272" s="471">
        <f t="shared" ref="W272:X272" si="329">W271</f>
        <v>11</v>
      </c>
      <c r="X272" s="471" t="e">
        <f t="shared" si="329"/>
        <v>#REF!</v>
      </c>
      <c r="Y272" s="471" t="e">
        <f t="shared" si="214"/>
        <v>#REF!</v>
      </c>
      <c r="Z272" s="471"/>
      <c r="AA272" s="471"/>
    </row>
    <row r="273" spans="1:27" s="470" customFormat="1" ht="15.75" customHeight="1" x14ac:dyDescent="0.15">
      <c r="B273" s="95"/>
      <c r="C273" s="140" t="s">
        <v>767</v>
      </c>
      <c r="D273" s="95"/>
      <c r="E273" s="141"/>
      <c r="F273" s="94" t="s">
        <v>750</v>
      </c>
      <c r="G273" s="505">
        <v>6.0000000000000001E-3</v>
      </c>
      <c r="H273" s="463" t="str">
        <f t="shared" si="326"/>
        <v>보통인부인</v>
      </c>
      <c r="I273" s="451" t="str">
        <f>CONCATENATE(C273,E273,F273)</f>
        <v>보통인부인</v>
      </c>
      <c r="J273" s="506" t="str">
        <f>IF(OR($F273="인",$F273=""),"",VLOOKUP($H273,단가!$A:$S,19,FALSE))</f>
        <v/>
      </c>
      <c r="K273" s="507" t="str">
        <f>IF(J273="","",TRUNC($G273*J273,0))</f>
        <v/>
      </c>
      <c r="L273" s="506">
        <f>IF($F273="인",VLOOKUP($C:$C,노임!$C:$G,4,FALSE),"")</f>
        <v>106846</v>
      </c>
      <c r="M273" s="507">
        <f>IF(L273="","",TRUNC($G273*L273,0))</f>
        <v>641</v>
      </c>
      <c r="N273" s="507"/>
      <c r="O273" s="507" t="str">
        <f>IF(N273="","",TRUNC($G273*N273,0))</f>
        <v/>
      </c>
      <c r="P273" s="508"/>
      <c r="Q273" s="509" t="str">
        <f>IF(F273="인","노임"&amp;VLOOKUP($C:$C,노임!C:G,5,FALSE)&amp;"번","단가"&amp;VLOOKUP($H:$H,단가!$A:$B,2,FALSE)&amp;"번")</f>
        <v>노임1002번</v>
      </c>
      <c r="R273" s="510"/>
      <c r="S273" s="131"/>
      <c r="T273" s="470" t="str">
        <f t="shared" si="316"/>
        <v>노임1002번</v>
      </c>
      <c r="V273" s="549"/>
      <c r="W273" s="471">
        <f t="shared" ref="W273:X273" si="330">W272</f>
        <v>11</v>
      </c>
      <c r="X273" s="471" t="e">
        <f t="shared" si="330"/>
        <v>#REF!</v>
      </c>
      <c r="Y273" s="471" t="e">
        <f t="shared" ref="Y273:Y287" si="331">X273-W273</f>
        <v>#REF!</v>
      </c>
      <c r="Z273" s="471"/>
      <c r="AA273" s="471"/>
    </row>
    <row r="274" spans="1:27" s="470" customFormat="1" ht="15.75" customHeight="1" x14ac:dyDescent="0.15">
      <c r="B274" s="95"/>
      <c r="C274" s="140" t="s">
        <v>766</v>
      </c>
      <c r="D274" s="95"/>
      <c r="E274" s="141" t="s">
        <v>518</v>
      </c>
      <c r="F274" s="94" t="s">
        <v>777</v>
      </c>
      <c r="G274" s="505">
        <v>1</v>
      </c>
      <c r="H274" s="463" t="str">
        <f t="shared" si="326"/>
        <v>공구손료인력품의 2%식</v>
      </c>
      <c r="I274" s="451"/>
      <c r="J274" s="506">
        <f>TRUNC((M272+M273)*2%,0)</f>
        <v>215</v>
      </c>
      <c r="K274" s="507">
        <f>IF(J274="","",TRUNC($G274*J274,0))</f>
        <v>215</v>
      </c>
      <c r="L274" s="506"/>
      <c r="M274" s="507" t="str">
        <f>IF(L274="","",TRUNC($G274*L274,0))</f>
        <v/>
      </c>
      <c r="N274" s="507"/>
      <c r="O274" s="507" t="str">
        <f>IF(N274="","",TRUNC($G274*N274,0))</f>
        <v/>
      </c>
      <c r="P274" s="508"/>
      <c r="Q274" s="512"/>
      <c r="R274" s="534"/>
      <c r="S274" s="131"/>
      <c r="T274" s="470" t="str">
        <f t="shared" si="316"/>
        <v/>
      </c>
      <c r="V274" s="549"/>
      <c r="W274" s="471">
        <f t="shared" ref="W274:X274" si="332">W273</f>
        <v>11</v>
      </c>
      <c r="X274" s="471" t="e">
        <f t="shared" si="332"/>
        <v>#REF!</v>
      </c>
      <c r="Y274" s="471" t="e">
        <f t="shared" si="331"/>
        <v>#REF!</v>
      </c>
      <c r="Z274" s="471"/>
      <c r="AA274" s="471"/>
    </row>
    <row r="275" spans="1:27" s="470" customFormat="1" ht="15.75" customHeight="1" x14ac:dyDescent="0.15">
      <c r="B275" s="95"/>
      <c r="C275" s="140"/>
      <c r="D275" s="95"/>
      <c r="E275" s="141"/>
      <c r="F275" s="94"/>
      <c r="G275" s="505"/>
      <c r="H275" s="463" t="str">
        <f t="shared" si="326"/>
        <v/>
      </c>
      <c r="I275" s="451"/>
      <c r="J275" s="506"/>
      <c r="K275" s="507"/>
      <c r="L275" s="506"/>
      <c r="M275" s="507"/>
      <c r="N275" s="507"/>
      <c r="O275" s="507"/>
      <c r="P275" s="508"/>
      <c r="Q275" s="512"/>
      <c r="R275" s="534"/>
      <c r="S275" s="131"/>
      <c r="T275" s="470" t="str">
        <f t="shared" si="316"/>
        <v/>
      </c>
      <c r="V275" s="549"/>
      <c r="W275" s="471">
        <f t="shared" ref="W275:X275" si="333">W274</f>
        <v>11</v>
      </c>
      <c r="X275" s="471" t="e">
        <f t="shared" si="333"/>
        <v>#REF!</v>
      </c>
      <c r="Y275" s="471" t="e">
        <f t="shared" si="331"/>
        <v>#REF!</v>
      </c>
      <c r="Z275" s="471"/>
      <c r="AA275" s="471"/>
    </row>
    <row r="276" spans="1:27" s="470" customFormat="1" ht="15.75" customHeight="1" x14ac:dyDescent="0.15">
      <c r="B276" s="95"/>
      <c r="C276" s="140"/>
      <c r="D276" s="95"/>
      <c r="E276" s="141"/>
      <c r="F276" s="94"/>
      <c r="G276" s="505"/>
      <c r="H276" s="463" t="str">
        <f t="shared" si="326"/>
        <v/>
      </c>
      <c r="I276" s="451"/>
      <c r="J276" s="506"/>
      <c r="K276" s="507"/>
      <c r="L276" s="506"/>
      <c r="M276" s="507"/>
      <c r="N276" s="507"/>
      <c r="O276" s="507"/>
      <c r="P276" s="508"/>
      <c r="Q276" s="512"/>
      <c r="R276" s="513"/>
      <c r="S276" s="131"/>
      <c r="T276" s="470" t="str">
        <f t="shared" si="316"/>
        <v/>
      </c>
      <c r="V276" s="549"/>
      <c r="W276" s="471">
        <f t="shared" ref="W276:X276" si="334">W275</f>
        <v>11</v>
      </c>
      <c r="X276" s="471" t="e">
        <f t="shared" si="334"/>
        <v>#REF!</v>
      </c>
      <c r="Y276" s="471" t="e">
        <f t="shared" si="331"/>
        <v>#REF!</v>
      </c>
      <c r="Z276" s="471"/>
      <c r="AA276" s="471"/>
    </row>
    <row r="277" spans="1:27" s="470" customFormat="1" ht="15.75" customHeight="1" x14ac:dyDescent="0.15">
      <c r="B277" s="95"/>
      <c r="C277" s="140"/>
      <c r="D277" s="95"/>
      <c r="E277" s="141"/>
      <c r="F277" s="94"/>
      <c r="G277" s="505"/>
      <c r="H277" s="463" t="str">
        <f t="shared" si="326"/>
        <v/>
      </c>
      <c r="I277" s="451"/>
      <c r="J277" s="506"/>
      <c r="K277" s="507"/>
      <c r="L277" s="506"/>
      <c r="M277" s="507"/>
      <c r="N277" s="507"/>
      <c r="O277" s="507"/>
      <c r="P277" s="508"/>
      <c r="Q277" s="512"/>
      <c r="R277" s="513"/>
      <c r="S277" s="131"/>
      <c r="T277" s="470" t="str">
        <f t="shared" si="316"/>
        <v/>
      </c>
      <c r="V277" s="549"/>
      <c r="W277" s="471">
        <f t="shared" ref="W277:X277" si="335">W276</f>
        <v>11</v>
      </c>
      <c r="X277" s="471" t="e">
        <f t="shared" si="335"/>
        <v>#REF!</v>
      </c>
      <c r="Y277" s="471" t="e">
        <f t="shared" si="331"/>
        <v>#REF!</v>
      </c>
      <c r="Z277" s="471"/>
      <c r="AA277" s="471"/>
    </row>
    <row r="278" spans="1:27" s="470" customFormat="1" ht="15.75" customHeight="1" x14ac:dyDescent="0.15">
      <c r="B278" s="95"/>
      <c r="C278" s="140"/>
      <c r="D278" s="95"/>
      <c r="E278" s="141"/>
      <c r="F278" s="94"/>
      <c r="G278" s="505"/>
      <c r="H278" s="463" t="str">
        <f t="shared" si="326"/>
        <v/>
      </c>
      <c r="I278" s="451"/>
      <c r="J278" s="506"/>
      <c r="K278" s="507"/>
      <c r="L278" s="506"/>
      <c r="M278" s="507"/>
      <c r="N278" s="507"/>
      <c r="O278" s="507"/>
      <c r="P278" s="508"/>
      <c r="Q278" s="512"/>
      <c r="R278" s="534"/>
      <c r="S278" s="131"/>
      <c r="T278" s="470" t="str">
        <f t="shared" si="316"/>
        <v/>
      </c>
      <c r="V278" s="549"/>
      <c r="W278" s="471">
        <f t="shared" ref="W278:X278" si="336">W277</f>
        <v>11</v>
      </c>
      <c r="X278" s="471" t="e">
        <f t="shared" si="336"/>
        <v>#REF!</v>
      </c>
      <c r="Y278" s="471" t="e">
        <f t="shared" si="331"/>
        <v>#REF!</v>
      </c>
      <c r="Z278" s="471"/>
      <c r="AA278" s="471"/>
    </row>
    <row r="279" spans="1:27" s="470" customFormat="1" ht="15.75" customHeight="1" x14ac:dyDescent="0.15">
      <c r="B279" s="95"/>
      <c r="C279" s="140"/>
      <c r="D279" s="95"/>
      <c r="E279" s="141"/>
      <c r="F279" s="94"/>
      <c r="G279" s="505"/>
      <c r="H279" s="463" t="str">
        <f t="shared" si="326"/>
        <v/>
      </c>
      <c r="I279" s="451"/>
      <c r="J279" s="506"/>
      <c r="K279" s="507"/>
      <c r="L279" s="506"/>
      <c r="M279" s="507"/>
      <c r="N279" s="507"/>
      <c r="O279" s="507"/>
      <c r="P279" s="508"/>
      <c r="Q279" s="512"/>
      <c r="R279" s="513"/>
      <c r="S279" s="131"/>
      <c r="T279" s="470" t="str">
        <f t="shared" si="316"/>
        <v/>
      </c>
      <c r="V279" s="549"/>
      <c r="W279" s="471">
        <f t="shared" ref="W279:X279" si="337">W278</f>
        <v>11</v>
      </c>
      <c r="X279" s="471" t="e">
        <f t="shared" si="337"/>
        <v>#REF!</v>
      </c>
      <c r="Y279" s="471" t="e">
        <f t="shared" si="331"/>
        <v>#REF!</v>
      </c>
      <c r="Z279" s="471"/>
      <c r="AA279" s="471"/>
    </row>
    <row r="280" spans="1:27" s="470" customFormat="1" ht="15.75" customHeight="1" x14ac:dyDescent="0.15">
      <c r="B280" s="95"/>
      <c r="C280" s="140"/>
      <c r="D280" s="95"/>
      <c r="E280" s="141"/>
      <c r="F280" s="94"/>
      <c r="G280" s="505"/>
      <c r="H280" s="463" t="str">
        <f t="shared" si="326"/>
        <v/>
      </c>
      <c r="I280" s="451"/>
      <c r="J280" s="506"/>
      <c r="K280" s="507"/>
      <c r="L280" s="506"/>
      <c r="M280" s="507"/>
      <c r="N280" s="507"/>
      <c r="O280" s="507"/>
      <c r="P280" s="508"/>
      <c r="Q280" s="512"/>
      <c r="R280" s="513"/>
      <c r="S280" s="131"/>
      <c r="T280" s="470" t="str">
        <f t="shared" si="316"/>
        <v/>
      </c>
      <c r="V280" s="549"/>
      <c r="W280" s="471">
        <f t="shared" ref="W280:X280" si="338">W279</f>
        <v>11</v>
      </c>
      <c r="X280" s="471" t="e">
        <f t="shared" si="338"/>
        <v>#REF!</v>
      </c>
      <c r="Y280" s="471" t="e">
        <f t="shared" si="331"/>
        <v>#REF!</v>
      </c>
      <c r="Z280" s="471"/>
      <c r="AA280" s="471"/>
    </row>
    <row r="281" spans="1:27" s="470" customFormat="1" ht="15.75" customHeight="1" x14ac:dyDescent="0.15">
      <c r="B281" s="95"/>
      <c r="C281" s="140"/>
      <c r="D281" s="95"/>
      <c r="E281" s="141"/>
      <c r="F281" s="94"/>
      <c r="G281" s="505"/>
      <c r="H281" s="463" t="str">
        <f t="shared" si="326"/>
        <v/>
      </c>
      <c r="I281" s="451"/>
      <c r="J281" s="506"/>
      <c r="K281" s="507"/>
      <c r="L281" s="506"/>
      <c r="M281" s="507"/>
      <c r="N281" s="507"/>
      <c r="O281" s="507"/>
      <c r="P281" s="508"/>
      <c r="Q281" s="512"/>
      <c r="R281" s="513"/>
      <c r="S281" s="131"/>
      <c r="T281" s="470" t="str">
        <f t="shared" si="316"/>
        <v/>
      </c>
      <c r="V281" s="549"/>
      <c r="W281" s="471">
        <f t="shared" ref="W281:X281" si="339">W280</f>
        <v>11</v>
      </c>
      <c r="X281" s="471" t="e">
        <f t="shared" si="339"/>
        <v>#REF!</v>
      </c>
      <c r="Y281" s="471" t="e">
        <f t="shared" si="331"/>
        <v>#REF!</v>
      </c>
      <c r="Z281" s="471"/>
      <c r="AA281" s="471"/>
    </row>
    <row r="282" spans="1:27" s="470" customFormat="1" ht="15.75" customHeight="1" x14ac:dyDescent="0.15">
      <c r="B282" s="95"/>
      <c r="C282" s="140"/>
      <c r="D282" s="95"/>
      <c r="E282" s="141"/>
      <c r="F282" s="94"/>
      <c r="G282" s="505"/>
      <c r="H282" s="463" t="str">
        <f t="shared" si="326"/>
        <v/>
      </c>
      <c r="I282" s="451"/>
      <c r="J282" s="506"/>
      <c r="K282" s="507"/>
      <c r="L282" s="506"/>
      <c r="M282" s="507"/>
      <c r="N282" s="507"/>
      <c r="O282" s="507"/>
      <c r="P282" s="508"/>
      <c r="Q282" s="512"/>
      <c r="R282" s="513"/>
      <c r="S282" s="131"/>
      <c r="T282" s="470" t="str">
        <f t="shared" si="316"/>
        <v/>
      </c>
      <c r="V282" s="549"/>
      <c r="W282" s="471">
        <f t="shared" ref="W282:X282" si="340">W281</f>
        <v>11</v>
      </c>
      <c r="X282" s="471" t="e">
        <f t="shared" si="340"/>
        <v>#REF!</v>
      </c>
      <c r="Y282" s="471" t="e">
        <f t="shared" si="331"/>
        <v>#REF!</v>
      </c>
      <c r="Z282" s="471"/>
      <c r="AA282" s="471"/>
    </row>
    <row r="283" spans="1:27" s="470" customFormat="1" ht="15.75" customHeight="1" x14ac:dyDescent="0.15">
      <c r="B283" s="95"/>
      <c r="C283" s="140"/>
      <c r="D283" s="95"/>
      <c r="E283" s="141"/>
      <c r="F283" s="94"/>
      <c r="G283" s="505"/>
      <c r="H283" s="463" t="str">
        <f t="shared" si="326"/>
        <v/>
      </c>
      <c r="I283" s="451"/>
      <c r="J283" s="506"/>
      <c r="K283" s="507"/>
      <c r="L283" s="506"/>
      <c r="M283" s="507"/>
      <c r="N283" s="507"/>
      <c r="O283" s="507"/>
      <c r="P283" s="508"/>
      <c r="Q283" s="512"/>
      <c r="R283" s="513"/>
      <c r="S283" s="131"/>
      <c r="T283" s="470" t="str">
        <f t="shared" si="316"/>
        <v/>
      </c>
      <c r="V283" s="549"/>
      <c r="W283" s="471">
        <f t="shared" ref="W283:X283" si="341">W282</f>
        <v>11</v>
      </c>
      <c r="X283" s="471" t="e">
        <f t="shared" si="341"/>
        <v>#REF!</v>
      </c>
      <c r="Y283" s="471" t="e">
        <f t="shared" si="331"/>
        <v>#REF!</v>
      </c>
      <c r="Z283" s="471"/>
      <c r="AA283" s="471"/>
    </row>
    <row r="284" spans="1:27" s="470" customFormat="1" ht="15.75" customHeight="1" x14ac:dyDescent="0.15">
      <c r="A284" s="457"/>
      <c r="B284" s="514" t="s">
        <v>751</v>
      </c>
      <c r="C284" s="515"/>
      <c r="D284" s="516"/>
      <c r="E284" s="517"/>
      <c r="F284" s="518"/>
      <c r="G284" s="519"/>
      <c r="H284" s="463" t="str">
        <f t="shared" si="326"/>
        <v/>
      </c>
      <c r="I284" s="520">
        <f>목록!$B$16</f>
        <v>11</v>
      </c>
      <c r="J284" s="521"/>
      <c r="K284" s="522">
        <f>SUM(K270:K283)</f>
        <v>7874</v>
      </c>
      <c r="L284" s="521"/>
      <c r="M284" s="522">
        <f>SUM(M270:M283)</f>
        <v>10784</v>
      </c>
      <c r="N284" s="521"/>
      <c r="O284" s="522">
        <f>SUM(O270:O283)</f>
        <v>0</v>
      </c>
      <c r="P284" s="523"/>
      <c r="Q284" s="512"/>
      <c r="R284" s="513"/>
      <c r="S284" s="524"/>
      <c r="T284" s="470" t="str">
        <f t="shared" si="316"/>
        <v/>
      </c>
      <c r="V284" s="551"/>
      <c r="W284" s="471">
        <f t="shared" ref="W284:X284" si="342">W283</f>
        <v>11</v>
      </c>
      <c r="X284" s="471" t="e">
        <f t="shared" si="342"/>
        <v>#REF!</v>
      </c>
      <c r="Y284" s="471" t="e">
        <f t="shared" si="331"/>
        <v>#REF!</v>
      </c>
      <c r="Z284" s="471"/>
      <c r="AA284" s="471"/>
    </row>
    <row r="285" spans="1:27" s="470" customFormat="1" ht="15.75" customHeight="1" x14ac:dyDescent="0.15">
      <c r="B285" s="453"/>
      <c r="C285" s="209" t="s">
        <v>1014</v>
      </c>
      <c r="D285" s="95"/>
      <c r="E285" s="141"/>
      <c r="F285" s="94"/>
      <c r="G285" s="505"/>
      <c r="H285" s="463" t="str">
        <f t="shared" si="326"/>
        <v>※ 건축표준품셈 : 11-1-3 건축물 내부목공사 3. 벽체합판</v>
      </c>
      <c r="I285" s="451"/>
      <c r="J285" s="506"/>
      <c r="K285" s="507"/>
      <c r="L285" s="506"/>
      <c r="M285" s="507"/>
      <c r="N285" s="507"/>
      <c r="O285" s="507"/>
      <c r="P285" s="508"/>
      <c r="Q285" s="512"/>
      <c r="R285" s="513"/>
      <c r="S285" s="131"/>
      <c r="T285" s="470" t="str">
        <f t="shared" si="316"/>
        <v/>
      </c>
      <c r="W285" s="615">
        <f t="shared" ref="W285:X285" si="343">W284</f>
        <v>11</v>
      </c>
      <c r="X285" s="471" t="e">
        <f t="shared" si="343"/>
        <v>#REF!</v>
      </c>
      <c r="Y285" s="471" t="e">
        <f t="shared" si="331"/>
        <v>#REF!</v>
      </c>
      <c r="Z285" s="471"/>
      <c r="AA285" s="471"/>
    </row>
    <row r="286" spans="1:27" s="457" customFormat="1" ht="15.75" customHeight="1" x14ac:dyDescent="0.15">
      <c r="A286" s="470"/>
      <c r="B286" s="453"/>
      <c r="C286" s="209"/>
      <c r="D286" s="95"/>
      <c r="E286" s="141"/>
      <c r="F286" s="94"/>
      <c r="G286" s="505"/>
      <c r="H286" s="463" t="str">
        <f t="shared" si="326"/>
        <v/>
      </c>
      <c r="I286" s="451"/>
      <c r="J286" s="506"/>
      <c r="K286" s="507"/>
      <c r="L286" s="506"/>
      <c r="M286" s="507"/>
      <c r="N286" s="507"/>
      <c r="O286" s="507"/>
      <c r="P286" s="508"/>
      <c r="Q286" s="512"/>
      <c r="R286" s="513"/>
      <c r="S286" s="131"/>
      <c r="T286" s="470" t="str">
        <f t="shared" si="316"/>
        <v/>
      </c>
      <c r="V286" s="470"/>
      <c r="W286" s="471">
        <f t="shared" ref="W286:X286" si="344">W285</f>
        <v>11</v>
      </c>
      <c r="X286" s="471" t="e">
        <f t="shared" si="344"/>
        <v>#REF!</v>
      </c>
      <c r="Y286" s="471" t="e">
        <f t="shared" si="331"/>
        <v>#REF!</v>
      </c>
      <c r="Z286" s="471"/>
      <c r="AA286" s="471"/>
    </row>
    <row r="287" spans="1:27" s="470" customFormat="1" ht="15.75" customHeight="1" x14ac:dyDescent="0.15">
      <c r="A287" s="457"/>
      <c r="B287" s="514"/>
      <c r="C287" s="515"/>
      <c r="D287" s="516"/>
      <c r="E287" s="517"/>
      <c r="F287" s="518"/>
      <c r="G287" s="519"/>
      <c r="H287" s="463" t="str">
        <f t="shared" si="326"/>
        <v/>
      </c>
      <c r="I287" s="520"/>
      <c r="J287" s="521"/>
      <c r="K287" s="522"/>
      <c r="L287" s="521"/>
      <c r="M287" s="522"/>
      <c r="N287" s="521"/>
      <c r="O287" s="522"/>
      <c r="P287" s="523"/>
      <c r="Q287" s="512"/>
      <c r="R287" s="513"/>
      <c r="S287" s="524"/>
      <c r="T287" s="470" t="str">
        <f t="shared" si="316"/>
        <v/>
      </c>
      <c r="V287" s="551"/>
      <c r="W287" s="471">
        <f t="shared" ref="W287:X287" si="345">W286</f>
        <v>11</v>
      </c>
      <c r="X287" s="471" t="e">
        <f t="shared" si="345"/>
        <v>#REF!</v>
      </c>
      <c r="Y287" s="471" t="e">
        <f t="shared" si="331"/>
        <v>#REF!</v>
      </c>
      <c r="Z287" s="471"/>
      <c r="AA287" s="471"/>
    </row>
    <row r="288" spans="1:27" s="470" customFormat="1" ht="15.75" customHeight="1" x14ac:dyDescent="0.15">
      <c r="A288" s="457"/>
      <c r="B288" s="457"/>
      <c r="C288" s="458"/>
      <c r="D288" s="459"/>
      <c r="E288" s="460"/>
      <c r="F288" s="461"/>
      <c r="G288" s="462"/>
      <c r="H288" s="463" t="str">
        <f t="shared" ref="H288:H297" si="346">CONCATENATE(C288,E288,F288)</f>
        <v/>
      </c>
      <c r="I288" s="464"/>
      <c r="J288" s="465"/>
      <c r="K288" s="465"/>
      <c r="L288" s="465"/>
      <c r="M288" s="465"/>
      <c r="N288" s="465"/>
      <c r="O288" s="487"/>
      <c r="P288" s="467"/>
      <c r="Q288" s="468"/>
      <c r="R288" s="469"/>
      <c r="S288" s="467"/>
      <c r="T288" s="470" t="str">
        <f t="shared" ref="T288:T313" si="347">CONCATENATE(Q288,R288)</f>
        <v/>
      </c>
      <c r="W288" s="533">
        <f t="shared" ref="W288" si="348">I310</f>
        <v>12</v>
      </c>
      <c r="X288" s="533" t="e">
        <f>#REF!+1</f>
        <v>#REF!</v>
      </c>
      <c r="Y288" s="533" t="e">
        <f t="shared" ref="Y288:Y313" si="349">X288-W288</f>
        <v>#REF!</v>
      </c>
      <c r="Z288" s="533"/>
      <c r="AA288" s="533"/>
    </row>
    <row r="289" spans="1:27" s="457" customFormat="1" ht="15.75" customHeight="1" x14ac:dyDescent="0.15">
      <c r="B289" s="473"/>
      <c r="C289" s="474" t="str">
        <f>"   항목번호 : "&amp;목록!L$17</f>
        <v xml:space="preserve">   항목번호 : 제12호표</v>
      </c>
      <c r="D289" s="475">
        <f>목록!B$17</f>
        <v>12</v>
      </c>
      <c r="E289" s="476"/>
      <c r="F289" s="477"/>
      <c r="G289" s="478"/>
      <c r="H289" s="463" t="str">
        <f t="shared" si="346"/>
        <v xml:space="preserve">   항목번호 : 제12호표</v>
      </c>
      <c r="I289" s="479"/>
      <c r="J289" s="480"/>
      <c r="K289" s="481"/>
      <c r="L289" s="482"/>
      <c r="M289" s="482"/>
      <c r="N289" s="482"/>
      <c r="O289" s="487"/>
      <c r="P289" s="483"/>
      <c r="Q289" s="484"/>
      <c r="R289" s="485"/>
      <c r="S289" s="483"/>
      <c r="T289" s="470" t="str">
        <f t="shared" si="347"/>
        <v/>
      </c>
      <c r="V289" s="470"/>
      <c r="W289" s="471">
        <f t="shared" ref="W289:X289" si="350">W288</f>
        <v>12</v>
      </c>
      <c r="X289" s="471" t="e">
        <f t="shared" si="350"/>
        <v>#REF!</v>
      </c>
      <c r="Y289" s="471" t="e">
        <f t="shared" si="349"/>
        <v>#REF!</v>
      </c>
      <c r="Z289" s="471"/>
      <c r="AA289" s="471"/>
    </row>
    <row r="290" spans="1:27" s="457" customFormat="1" ht="15.75" customHeight="1" x14ac:dyDescent="0.15">
      <c r="B290" s="473"/>
      <c r="C290" s="474" t="str">
        <f>"   공      종 : "&amp;목록!D$17</f>
        <v xml:space="preserve">   공      종 : 섬유판취부(벽체)</v>
      </c>
      <c r="D290" s="484"/>
      <c r="E290" s="476"/>
      <c r="F290" s="473"/>
      <c r="G290" s="478"/>
      <c r="H290" s="463" t="str">
        <f t="shared" si="346"/>
        <v xml:space="preserve">   공      종 : 섬유판취부(벽체)</v>
      </c>
      <c r="I290" s="479"/>
      <c r="J290" s="480"/>
      <c r="K290" s="481"/>
      <c r="L290" s="482"/>
      <c r="M290" s="482"/>
      <c r="N290" s="482"/>
      <c r="O290" s="487"/>
      <c r="P290" s="483"/>
      <c r="Q290" s="484"/>
      <c r="R290" s="485"/>
      <c r="S290" s="483"/>
      <c r="T290" s="470" t="str">
        <f t="shared" si="347"/>
        <v/>
      </c>
      <c r="V290" s="470"/>
      <c r="W290" s="471">
        <f t="shared" ref="W290:X290" si="351">W289</f>
        <v>12</v>
      </c>
      <c r="X290" s="471" t="e">
        <f t="shared" si="351"/>
        <v>#REF!</v>
      </c>
      <c r="Y290" s="471" t="e">
        <f t="shared" si="349"/>
        <v>#REF!</v>
      </c>
      <c r="Z290" s="471"/>
      <c r="AA290" s="471"/>
    </row>
    <row r="291" spans="1:27" s="457" customFormat="1" ht="15.75" customHeight="1" x14ac:dyDescent="0.15">
      <c r="B291" s="473"/>
      <c r="C291" s="474" t="str">
        <f xml:space="preserve"> "   규      격 : "&amp;목록!F$17</f>
        <v xml:space="preserve">   규      격 : THK=9mm * 1PLY(마감)</v>
      </c>
      <c r="D291" s="484"/>
      <c r="E291" s="476"/>
      <c r="F291" s="473"/>
      <c r="G291" s="478"/>
      <c r="H291" s="463" t="str">
        <f t="shared" si="346"/>
        <v xml:space="preserve">   규      격 : THK=9mm * 1PLY(마감)</v>
      </c>
      <c r="I291" s="479"/>
      <c r="J291" s="480" t="s">
        <v>348</v>
      </c>
      <c r="K291" s="481"/>
      <c r="L291" s="482" t="s">
        <v>349</v>
      </c>
      <c r="M291" s="482"/>
      <c r="N291" s="482" t="s">
        <v>240</v>
      </c>
      <c r="O291" s="487"/>
      <c r="P291" s="483"/>
      <c r="Q291" s="484" t="s">
        <v>723</v>
      </c>
      <c r="R291" s="484"/>
      <c r="S291" s="483"/>
      <c r="T291" s="470" t="str">
        <f t="shared" si="347"/>
        <v>합계</v>
      </c>
      <c r="V291" s="470"/>
      <c r="W291" s="471">
        <f t="shared" ref="W291:X291" si="352">W290</f>
        <v>12</v>
      </c>
      <c r="X291" s="471" t="e">
        <f t="shared" si="352"/>
        <v>#REF!</v>
      </c>
      <c r="Y291" s="471" t="e">
        <f t="shared" si="349"/>
        <v>#REF!</v>
      </c>
      <c r="Z291" s="471"/>
      <c r="AA291" s="471"/>
    </row>
    <row r="292" spans="1:27" s="457" customFormat="1" ht="15.75" customHeight="1" x14ac:dyDescent="0.15">
      <c r="B292" s="473"/>
      <c r="C292" s="474" t="str">
        <f>"   단      위 : "&amp;목록!G$17</f>
        <v xml:space="preserve">   단      위 : ㎡</v>
      </c>
      <c r="D292" s="484"/>
      <c r="E292" s="476"/>
      <c r="F292" s="473"/>
      <c r="G292" s="478"/>
      <c r="H292" s="463" t="str">
        <f t="shared" si="346"/>
        <v xml:space="preserve">   단      위 : ㎡</v>
      </c>
      <c r="I292" s="479"/>
      <c r="J292" s="486">
        <f>K310</f>
        <v>7178</v>
      </c>
      <c r="K292" s="481"/>
      <c r="L292" s="487">
        <f>M310</f>
        <v>11736</v>
      </c>
      <c r="M292" s="482"/>
      <c r="N292" s="482">
        <f>O310</f>
        <v>0</v>
      </c>
      <c r="O292" s="487"/>
      <c r="P292" s="483"/>
      <c r="Q292" s="488">
        <f>J292+L292+N292</f>
        <v>18914</v>
      </c>
      <c r="R292" s="489"/>
      <c r="S292" s="483"/>
      <c r="T292" s="470" t="str">
        <f t="shared" si="347"/>
        <v>18914</v>
      </c>
      <c r="V292" s="470"/>
      <c r="W292" s="471">
        <f t="shared" ref="W292:X292" si="353">W291</f>
        <v>12</v>
      </c>
      <c r="X292" s="471" t="e">
        <f t="shared" si="353"/>
        <v>#REF!</v>
      </c>
      <c r="Y292" s="471" t="e">
        <f t="shared" si="349"/>
        <v>#REF!</v>
      </c>
      <c r="Z292" s="471"/>
      <c r="AA292" s="471"/>
    </row>
    <row r="293" spans="1:27" s="457" customFormat="1" ht="15.75" customHeight="1" x14ac:dyDescent="0.15">
      <c r="B293" s="473"/>
      <c r="C293" s="474"/>
      <c r="D293" s="484"/>
      <c r="E293" s="476"/>
      <c r="F293" s="473"/>
      <c r="G293" s="490"/>
      <c r="H293" s="463" t="str">
        <f t="shared" si="346"/>
        <v/>
      </c>
      <c r="I293" s="491"/>
      <c r="J293" s="482"/>
      <c r="K293" s="465"/>
      <c r="L293" s="482"/>
      <c r="M293" s="482"/>
      <c r="N293" s="482"/>
      <c r="O293" s="487"/>
      <c r="P293" s="492"/>
      <c r="Q293" s="493"/>
      <c r="R293" s="485"/>
      <c r="S293" s="492"/>
      <c r="T293" s="470" t="str">
        <f t="shared" si="347"/>
        <v/>
      </c>
      <c r="V293" s="470"/>
      <c r="W293" s="471">
        <f t="shared" ref="W293:X293" si="354">W292</f>
        <v>12</v>
      </c>
      <c r="X293" s="471" t="e">
        <f t="shared" si="354"/>
        <v>#REF!</v>
      </c>
      <c r="Y293" s="471" t="e">
        <f t="shared" si="349"/>
        <v>#REF!</v>
      </c>
      <c r="Z293" s="471"/>
      <c r="AA293" s="471"/>
    </row>
    <row r="294" spans="1:27" s="457" customFormat="1" ht="15.75" customHeight="1" x14ac:dyDescent="0.15">
      <c r="A294" s="547"/>
      <c r="B294" s="899" t="s">
        <v>375</v>
      </c>
      <c r="C294" s="900"/>
      <c r="D294" s="915" t="s">
        <v>356</v>
      </c>
      <c r="E294" s="908"/>
      <c r="F294" s="903" t="s">
        <v>588</v>
      </c>
      <c r="G294" s="913" t="s">
        <v>589</v>
      </c>
      <c r="H294" s="463" t="str">
        <f t="shared" si="346"/>
        <v>단위</v>
      </c>
      <c r="I294" s="603"/>
      <c r="J294" s="495" t="s">
        <v>348</v>
      </c>
      <c r="K294" s="496"/>
      <c r="L294" s="495" t="s">
        <v>349</v>
      </c>
      <c r="M294" s="496"/>
      <c r="N294" s="497" t="s">
        <v>240</v>
      </c>
      <c r="O294" s="497"/>
      <c r="P294" s="498"/>
      <c r="Q294" s="744" t="s">
        <v>355</v>
      </c>
      <c r="R294" s="744"/>
      <c r="S294" s="499"/>
      <c r="T294" s="470" t="str">
        <f t="shared" si="347"/>
        <v>비  고</v>
      </c>
      <c r="V294" s="470"/>
      <c r="W294" s="471">
        <f t="shared" ref="W294:X294" si="355">W293</f>
        <v>12</v>
      </c>
      <c r="X294" s="471" t="e">
        <f t="shared" si="355"/>
        <v>#REF!</v>
      </c>
      <c r="Y294" s="471" t="e">
        <f t="shared" si="349"/>
        <v>#REF!</v>
      </c>
      <c r="Z294" s="471"/>
      <c r="AA294" s="471"/>
    </row>
    <row r="295" spans="1:27" s="457" customFormat="1" ht="15.75" customHeight="1" x14ac:dyDescent="0.15">
      <c r="A295" s="547"/>
      <c r="B295" s="901"/>
      <c r="C295" s="902"/>
      <c r="D295" s="916"/>
      <c r="E295" s="910"/>
      <c r="F295" s="904"/>
      <c r="G295" s="914"/>
      <c r="H295" s="463" t="str">
        <f t="shared" si="346"/>
        <v/>
      </c>
      <c r="I295" s="604"/>
      <c r="J295" s="501" t="s">
        <v>353</v>
      </c>
      <c r="K295" s="501" t="s">
        <v>354</v>
      </c>
      <c r="L295" s="501" t="s">
        <v>353</v>
      </c>
      <c r="M295" s="605" t="s">
        <v>354</v>
      </c>
      <c r="N295" s="501" t="s">
        <v>353</v>
      </c>
      <c r="O295" s="501" t="s">
        <v>354</v>
      </c>
      <c r="P295" s="503"/>
      <c r="Q295" s="745"/>
      <c r="R295" s="745"/>
      <c r="S295" s="504"/>
      <c r="T295" s="470" t="str">
        <f t="shared" si="347"/>
        <v/>
      </c>
      <c r="V295" s="470"/>
      <c r="W295" s="471">
        <f t="shared" ref="W295:X295" si="356">W294</f>
        <v>12</v>
      </c>
      <c r="X295" s="471" t="e">
        <f t="shared" si="356"/>
        <v>#REF!</v>
      </c>
      <c r="Y295" s="471" t="e">
        <f t="shared" si="349"/>
        <v>#REF!</v>
      </c>
      <c r="Z295" s="471"/>
      <c r="AA295" s="471"/>
    </row>
    <row r="296" spans="1:27" s="457" customFormat="1" ht="15.75" customHeight="1" x14ac:dyDescent="0.15">
      <c r="A296" s="470"/>
      <c r="B296" s="95"/>
      <c r="C296" s="140" t="s">
        <v>441</v>
      </c>
      <c r="D296" s="95"/>
      <c r="E296" s="541" t="s">
        <v>959</v>
      </c>
      <c r="F296" s="94" t="s">
        <v>350</v>
      </c>
      <c r="G296" s="505">
        <f>TRUNC(1.05,4)</f>
        <v>1.05</v>
      </c>
      <c r="H296" s="463" t="str">
        <f t="shared" si="346"/>
        <v>M.D.FTHK=9mm, EO㎡</v>
      </c>
      <c r="I296" s="451" t="str">
        <f>CONCATENATE(C296,E296,F296)</f>
        <v>M.D.FTHK=9mm, EO㎡</v>
      </c>
      <c r="J296" s="506">
        <f>IF(OR($F296="인",$F296=""),"",VLOOKUP($H296,단가!$A:$S,19,FALSE))</f>
        <v>3728</v>
      </c>
      <c r="K296" s="507">
        <f t="shared" ref="K296:K301" si="357">IF(J296="","",TRUNC($G296*J296,0))</f>
        <v>3914</v>
      </c>
      <c r="L296" s="506" t="str">
        <f>IF($F296="인",VLOOKUP($C:$C,노임!$C:$G,4,FALSE),"")</f>
        <v/>
      </c>
      <c r="M296" s="507" t="str">
        <f>IF(L296="","",TRUNC($G296*L296,0))</f>
        <v/>
      </c>
      <c r="N296" s="507"/>
      <c r="O296" s="507" t="str">
        <f>IF(N296="","",TRUNC($G296*N296,0))</f>
        <v/>
      </c>
      <c r="P296" s="508"/>
      <c r="Q296" s="509" t="str">
        <f>IF(F296="인","노임"&amp;VLOOKUP($C:$C,노임!C:G,5,FALSE)&amp;"번","단가"&amp;VLOOKUP($H:$H,단가!$A:$B,2,FALSE)&amp;"번")</f>
        <v>단가52번</v>
      </c>
      <c r="R296" s="510"/>
      <c r="S296" s="131"/>
      <c r="T296" s="470" t="str">
        <f t="shared" si="347"/>
        <v>단가52번</v>
      </c>
      <c r="V296" s="470"/>
      <c r="W296" s="471">
        <f t="shared" ref="W296:X296" si="358">W295</f>
        <v>12</v>
      </c>
      <c r="X296" s="471" t="e">
        <f t="shared" si="358"/>
        <v>#REF!</v>
      </c>
      <c r="Y296" s="471" t="e">
        <f t="shared" si="349"/>
        <v>#REF!</v>
      </c>
      <c r="Z296" s="471"/>
      <c r="AA296" s="471"/>
    </row>
    <row r="297" spans="1:27" s="457" customFormat="1" ht="15.75" customHeight="1" x14ac:dyDescent="0.15">
      <c r="A297" s="470"/>
      <c r="B297" s="95"/>
      <c r="C297" s="140" t="s">
        <v>824</v>
      </c>
      <c r="D297" s="95"/>
      <c r="E297" s="141" t="s">
        <v>825</v>
      </c>
      <c r="F297" s="94" t="s">
        <v>739</v>
      </c>
      <c r="G297" s="505">
        <f>TRUNC(0.27,4)</f>
        <v>0.27</v>
      </c>
      <c r="H297" s="463" t="str">
        <f t="shared" si="346"/>
        <v>접착제합판용Kg</v>
      </c>
      <c r="I297" s="451" t="str">
        <f>CONCATENATE(C297,E297,F297)</f>
        <v>접착제합판용Kg</v>
      </c>
      <c r="J297" s="506">
        <f>IF(OR($F297="인",$F297=""),"",VLOOKUP($H297,단가!$A:$S,19,FALSE))</f>
        <v>10500</v>
      </c>
      <c r="K297" s="507">
        <f t="shared" si="357"/>
        <v>2835</v>
      </c>
      <c r="L297" s="506" t="str">
        <f>IF($F297="인",VLOOKUP($C:$C,노임!$C:$G,4,FALSE),"")</f>
        <v/>
      </c>
      <c r="M297" s="507" t="str">
        <f>IF(L297="","",TRUNC($G297*L297,0))</f>
        <v/>
      </c>
      <c r="N297" s="507"/>
      <c r="O297" s="507" t="str">
        <f>IF(N297="","",TRUNC($G297*N297,0))</f>
        <v/>
      </c>
      <c r="P297" s="508"/>
      <c r="Q297" s="512" t="str">
        <f>IF(F297="인","노임"&amp;VLOOKUP($C:$C,노임!C:G,5,FALSE)&amp;"번","단가"&amp;VLOOKUP($H:$H,단가!$A:$B,2,FALSE)&amp;"번")</f>
        <v>단가69번</v>
      </c>
      <c r="R297" s="513"/>
      <c r="S297" s="131"/>
      <c r="T297" s="470" t="str">
        <f t="shared" si="347"/>
        <v>단가69번</v>
      </c>
      <c r="V297" s="549"/>
      <c r="W297" s="471">
        <f t="shared" ref="W297:X297" si="359">W296</f>
        <v>12</v>
      </c>
      <c r="X297" s="471" t="e">
        <f t="shared" si="359"/>
        <v>#REF!</v>
      </c>
      <c r="Y297" s="471" t="e">
        <f t="shared" si="349"/>
        <v>#REF!</v>
      </c>
      <c r="Z297" s="471"/>
      <c r="AA297" s="471"/>
    </row>
    <row r="298" spans="1:27" s="457" customFormat="1" ht="15.75" customHeight="1" x14ac:dyDescent="0.15">
      <c r="A298" s="470"/>
      <c r="B298" s="95"/>
      <c r="C298" s="140" t="s">
        <v>572</v>
      </c>
      <c r="D298" s="95"/>
      <c r="E298" s="206" t="s">
        <v>573</v>
      </c>
      <c r="F298" s="94" t="s">
        <v>1017</v>
      </c>
      <c r="G298" s="505">
        <v>1</v>
      </c>
      <c r="H298" s="463" t="str">
        <f>CONCATENATE(C298,E298,F298)</f>
        <v>잡재료 및 소모재료주재료비의 5%식</v>
      </c>
      <c r="I298" s="451" t="str">
        <f>CONCATENATE(C298,E298,F298)</f>
        <v>잡재료 및 소모재료주재료비의 5%식</v>
      </c>
      <c r="J298" s="506">
        <f>TRUNC((K296)*5%,0)</f>
        <v>195</v>
      </c>
      <c r="K298" s="507">
        <f t="shared" si="357"/>
        <v>195</v>
      </c>
      <c r="L298" s="506" t="str">
        <f>IF($F298="인",VLOOKUP($C:$C,노임!$C:$G,4,FALSE),"")</f>
        <v/>
      </c>
      <c r="M298" s="507" t="str">
        <f>IF(L298="","",TRUNC($G298*L298,0))</f>
        <v/>
      </c>
      <c r="N298" s="507"/>
      <c r="O298" s="507" t="str">
        <f>IF(N298="","",TRUNC($G298*N298,0))</f>
        <v/>
      </c>
      <c r="P298" s="508"/>
      <c r="Q298" s="509"/>
      <c r="R298" s="510"/>
      <c r="S298" s="131"/>
      <c r="T298" s="470" t="str">
        <f t="shared" si="347"/>
        <v/>
      </c>
      <c r="V298" s="470"/>
      <c r="W298" s="471">
        <f t="shared" ref="W298:X298" si="360">W297</f>
        <v>12</v>
      </c>
      <c r="X298" s="471" t="e">
        <f t="shared" si="360"/>
        <v>#REF!</v>
      </c>
      <c r="Y298" s="471" t="e">
        <f t="shared" si="349"/>
        <v>#REF!</v>
      </c>
      <c r="Z298" s="471"/>
      <c r="AA298" s="471"/>
    </row>
    <row r="299" spans="1:27" s="470" customFormat="1" ht="15.75" customHeight="1" x14ac:dyDescent="0.15">
      <c r="B299" s="95"/>
      <c r="C299" s="140" t="s">
        <v>749</v>
      </c>
      <c r="D299" s="95"/>
      <c r="E299" s="141"/>
      <c r="F299" s="94" t="s">
        <v>750</v>
      </c>
      <c r="G299" s="505">
        <f>TRUNC(0.065,4)</f>
        <v>6.5000000000000002E-2</v>
      </c>
      <c r="H299" s="463" t="str">
        <f>CONCATENATE(C299,E299,F299)</f>
        <v>건축목공인</v>
      </c>
      <c r="I299" s="451" t="str">
        <f>CONCATENATE(C299,E299,F299)</f>
        <v>건축목공인</v>
      </c>
      <c r="J299" s="506" t="str">
        <f>IF(OR($F299="인",$F299=""),"",VLOOKUP($H299,단가!$A:$S,19,FALSE))</f>
        <v/>
      </c>
      <c r="K299" s="507" t="str">
        <f t="shared" si="357"/>
        <v/>
      </c>
      <c r="L299" s="506">
        <f>IF($F299="인",VLOOKUP($C:$C,노임!$C:$G,4,FALSE),"")</f>
        <v>169062</v>
      </c>
      <c r="M299" s="507">
        <f>IF(L299="","",TRUNC($G299*L299,0))</f>
        <v>10989</v>
      </c>
      <c r="N299" s="507"/>
      <c r="O299" s="507" t="str">
        <f>IF(N299="","",TRUNC($G299*N299,0))</f>
        <v/>
      </c>
      <c r="P299" s="508"/>
      <c r="Q299" s="509" t="str">
        <f>IF(F299="인","노임"&amp;VLOOKUP($C:$C,노임!C:G,5,FALSE)&amp;"번","단가"&amp;VLOOKUP($H:$H,단가!$A:$B,2,FALSE)&amp;"번")</f>
        <v>노임1023번</v>
      </c>
      <c r="R299" s="510"/>
      <c r="S299" s="131"/>
      <c r="T299" s="470" t="str">
        <f t="shared" si="347"/>
        <v>노임1023번</v>
      </c>
      <c r="W299" s="471">
        <f t="shared" ref="W299:X299" si="361">W298</f>
        <v>12</v>
      </c>
      <c r="X299" s="471" t="e">
        <f t="shared" si="361"/>
        <v>#REF!</v>
      </c>
      <c r="Y299" s="471" t="e">
        <f t="shared" si="349"/>
        <v>#REF!</v>
      </c>
      <c r="Z299" s="471"/>
      <c r="AA299" s="471"/>
    </row>
    <row r="300" spans="1:27" s="470" customFormat="1" ht="15.75" customHeight="1" x14ac:dyDescent="0.15">
      <c r="B300" s="95"/>
      <c r="C300" s="140" t="s">
        <v>724</v>
      </c>
      <c r="D300" s="95"/>
      <c r="E300" s="141"/>
      <c r="F300" s="94" t="s">
        <v>750</v>
      </c>
      <c r="G300" s="505">
        <f>TRUNC(0.007,4)</f>
        <v>7.0000000000000001E-3</v>
      </c>
      <c r="H300" s="463" t="str">
        <f>CONCATENATE(C300,E300,F300)</f>
        <v>보통인부인</v>
      </c>
      <c r="I300" s="451"/>
      <c r="J300" s="506" t="str">
        <f>IF(OR($F300="인",$F300=""),"",VLOOKUP($H300,단가!$A:$S,19,FALSE))</f>
        <v/>
      </c>
      <c r="K300" s="507" t="str">
        <f t="shared" si="357"/>
        <v/>
      </c>
      <c r="L300" s="506">
        <f>IF($F300="인",VLOOKUP($C:$C,노임!$C:$G,4,FALSE),"")</f>
        <v>106846</v>
      </c>
      <c r="M300" s="507">
        <f>IF(L300="","",TRUNC($G300*L300,0))</f>
        <v>747</v>
      </c>
      <c r="N300" s="507"/>
      <c r="O300" s="507" t="str">
        <f>IF(N300="","",TRUNC($G300*N300,0))</f>
        <v/>
      </c>
      <c r="P300" s="508"/>
      <c r="Q300" s="509" t="str">
        <f>IF(F300="인","노임"&amp;VLOOKUP($C:$C,노임!C:G,5,FALSE)&amp;"번","단가"&amp;VLOOKUP($H:$H,단가!$A:$B,2,FALSE)&amp;"번")</f>
        <v>노임1002번</v>
      </c>
      <c r="R300" s="534"/>
      <c r="S300" s="131"/>
      <c r="T300" s="470" t="str">
        <f t="shared" si="347"/>
        <v>노임1002번</v>
      </c>
      <c r="W300" s="471">
        <f t="shared" ref="W300:X300" si="362">W299</f>
        <v>12</v>
      </c>
      <c r="X300" s="471" t="e">
        <f t="shared" si="362"/>
        <v>#REF!</v>
      </c>
      <c r="Y300" s="471" t="e">
        <f t="shared" si="349"/>
        <v>#REF!</v>
      </c>
      <c r="Z300" s="471"/>
      <c r="AA300" s="471"/>
    </row>
    <row r="301" spans="1:27" s="470" customFormat="1" ht="15.75" customHeight="1" x14ac:dyDescent="0.15">
      <c r="B301" s="95"/>
      <c r="C301" s="140" t="s">
        <v>766</v>
      </c>
      <c r="D301" s="95"/>
      <c r="E301" s="141" t="s">
        <v>518</v>
      </c>
      <c r="F301" s="94" t="s">
        <v>539</v>
      </c>
      <c r="G301" s="505">
        <v>1</v>
      </c>
      <c r="H301" s="463" t="str">
        <f>CONCATENATE(C301,E301,F301)</f>
        <v>공구손료인력품의 2%식</v>
      </c>
      <c r="I301" s="451"/>
      <c r="J301" s="506">
        <f>TRUNC((M299+M300)*2%,0)</f>
        <v>234</v>
      </c>
      <c r="K301" s="507">
        <f t="shared" si="357"/>
        <v>234</v>
      </c>
      <c r="L301" s="506"/>
      <c r="M301" s="507"/>
      <c r="N301" s="507"/>
      <c r="O301" s="507"/>
      <c r="P301" s="508"/>
      <c r="Q301" s="512"/>
      <c r="R301" s="534"/>
      <c r="S301" s="131"/>
      <c r="T301" s="470" t="str">
        <f t="shared" si="347"/>
        <v/>
      </c>
      <c r="W301" s="471">
        <f t="shared" ref="W301:X301" si="363">W300</f>
        <v>12</v>
      </c>
      <c r="X301" s="471" t="e">
        <f t="shared" si="363"/>
        <v>#REF!</v>
      </c>
      <c r="Y301" s="471" t="e">
        <f t="shared" si="349"/>
        <v>#REF!</v>
      </c>
      <c r="Z301" s="471"/>
      <c r="AA301" s="471"/>
    </row>
    <row r="302" spans="1:27" s="457" customFormat="1" ht="15.75" customHeight="1" x14ac:dyDescent="0.15">
      <c r="A302" s="470"/>
      <c r="B302" s="95"/>
      <c r="C302" s="140"/>
      <c r="D302" s="95"/>
      <c r="E302" s="206"/>
      <c r="F302" s="94"/>
      <c r="G302" s="505"/>
      <c r="H302" s="463"/>
      <c r="I302" s="451"/>
      <c r="J302" s="506"/>
      <c r="K302" s="507"/>
      <c r="L302" s="506"/>
      <c r="M302" s="507"/>
      <c r="N302" s="507"/>
      <c r="O302" s="507"/>
      <c r="P302" s="508"/>
      <c r="Q302" s="509"/>
      <c r="R302" s="510"/>
      <c r="S302" s="131"/>
      <c r="T302" s="470" t="str">
        <f t="shared" si="347"/>
        <v/>
      </c>
      <c r="V302" s="470"/>
      <c r="W302" s="471">
        <f t="shared" ref="W302:X302" si="364">W301</f>
        <v>12</v>
      </c>
      <c r="X302" s="471" t="e">
        <f t="shared" si="364"/>
        <v>#REF!</v>
      </c>
      <c r="Y302" s="471" t="e">
        <f t="shared" si="349"/>
        <v>#REF!</v>
      </c>
      <c r="Z302" s="471"/>
      <c r="AA302" s="471"/>
    </row>
    <row r="303" spans="1:27" s="470" customFormat="1" ht="15.75" customHeight="1" x14ac:dyDescent="0.15">
      <c r="B303" s="95"/>
      <c r="C303" s="140"/>
      <c r="D303" s="95"/>
      <c r="E303" s="141"/>
      <c r="F303" s="94"/>
      <c r="G303" s="505"/>
      <c r="H303" s="463" t="str">
        <f t="shared" ref="H303:H313" si="365">CONCATENATE(C303,E303,F303)</f>
        <v/>
      </c>
      <c r="I303" s="451"/>
      <c r="J303" s="506"/>
      <c r="K303" s="507"/>
      <c r="L303" s="506"/>
      <c r="M303" s="507"/>
      <c r="N303" s="507"/>
      <c r="O303" s="507"/>
      <c r="P303" s="508"/>
      <c r="Q303" s="512"/>
      <c r="R303" s="513"/>
      <c r="S303" s="131"/>
      <c r="T303" s="470" t="str">
        <f t="shared" si="347"/>
        <v/>
      </c>
      <c r="W303" s="471">
        <f t="shared" ref="W303:X303" si="366">W302</f>
        <v>12</v>
      </c>
      <c r="X303" s="471" t="e">
        <f t="shared" si="366"/>
        <v>#REF!</v>
      </c>
      <c r="Y303" s="471" t="e">
        <f t="shared" si="349"/>
        <v>#REF!</v>
      </c>
      <c r="Z303" s="471"/>
      <c r="AA303" s="471"/>
    </row>
    <row r="304" spans="1:27" s="470" customFormat="1" ht="15.75" customHeight="1" x14ac:dyDescent="0.15">
      <c r="B304" s="95"/>
      <c r="C304" s="140"/>
      <c r="D304" s="95"/>
      <c r="E304" s="141"/>
      <c r="F304" s="94"/>
      <c r="G304" s="505"/>
      <c r="H304" s="463" t="str">
        <f t="shared" si="365"/>
        <v/>
      </c>
      <c r="I304" s="451"/>
      <c r="J304" s="506"/>
      <c r="K304" s="507"/>
      <c r="L304" s="506"/>
      <c r="M304" s="507"/>
      <c r="N304" s="507"/>
      <c r="O304" s="507"/>
      <c r="P304" s="508"/>
      <c r="Q304" s="512"/>
      <c r="R304" s="534"/>
      <c r="S304" s="131"/>
      <c r="T304" s="470" t="str">
        <f t="shared" si="347"/>
        <v/>
      </c>
      <c r="W304" s="471">
        <f t="shared" ref="W304:X304" si="367">W303</f>
        <v>12</v>
      </c>
      <c r="X304" s="471" t="e">
        <f t="shared" si="367"/>
        <v>#REF!</v>
      </c>
      <c r="Y304" s="471" t="e">
        <f t="shared" si="349"/>
        <v>#REF!</v>
      </c>
      <c r="Z304" s="471"/>
      <c r="AA304" s="471"/>
    </row>
    <row r="305" spans="1:27" s="470" customFormat="1" ht="15.75" customHeight="1" x14ac:dyDescent="0.15">
      <c r="B305" s="95"/>
      <c r="C305" s="140"/>
      <c r="D305" s="95"/>
      <c r="E305" s="141"/>
      <c r="F305" s="94"/>
      <c r="G305" s="505"/>
      <c r="H305" s="463" t="str">
        <f t="shared" si="365"/>
        <v/>
      </c>
      <c r="I305" s="451"/>
      <c r="J305" s="506"/>
      <c r="K305" s="507"/>
      <c r="L305" s="506"/>
      <c r="M305" s="507"/>
      <c r="N305" s="507"/>
      <c r="O305" s="507"/>
      <c r="P305" s="508"/>
      <c r="Q305" s="512"/>
      <c r="R305" s="534"/>
      <c r="S305" s="131"/>
      <c r="T305" s="470" t="str">
        <f t="shared" si="347"/>
        <v/>
      </c>
      <c r="W305" s="471">
        <f t="shared" ref="W305:X305" si="368">W304</f>
        <v>12</v>
      </c>
      <c r="X305" s="471" t="e">
        <f t="shared" si="368"/>
        <v>#REF!</v>
      </c>
      <c r="Y305" s="471" t="e">
        <f t="shared" si="349"/>
        <v>#REF!</v>
      </c>
      <c r="Z305" s="471"/>
      <c r="AA305" s="471"/>
    </row>
    <row r="306" spans="1:27" s="470" customFormat="1" ht="15.75" customHeight="1" x14ac:dyDescent="0.15">
      <c r="B306" s="95"/>
      <c r="C306" s="140"/>
      <c r="D306" s="95"/>
      <c r="E306" s="141"/>
      <c r="F306" s="94"/>
      <c r="G306" s="505"/>
      <c r="H306" s="463" t="str">
        <f t="shared" si="365"/>
        <v/>
      </c>
      <c r="I306" s="451"/>
      <c r="J306" s="506"/>
      <c r="K306" s="507"/>
      <c r="L306" s="506"/>
      <c r="M306" s="507"/>
      <c r="N306" s="507"/>
      <c r="O306" s="507"/>
      <c r="P306" s="508"/>
      <c r="Q306" s="512"/>
      <c r="R306" s="534"/>
      <c r="S306" s="131"/>
      <c r="T306" s="470" t="str">
        <f t="shared" si="347"/>
        <v/>
      </c>
      <c r="W306" s="471">
        <f t="shared" ref="W306:X306" si="369">W305</f>
        <v>12</v>
      </c>
      <c r="X306" s="471" t="e">
        <f t="shared" si="369"/>
        <v>#REF!</v>
      </c>
      <c r="Y306" s="471" t="e">
        <f t="shared" si="349"/>
        <v>#REF!</v>
      </c>
      <c r="Z306" s="471"/>
      <c r="AA306" s="471"/>
    </row>
    <row r="307" spans="1:27" s="470" customFormat="1" ht="15.75" customHeight="1" x14ac:dyDescent="0.15">
      <c r="B307" s="95"/>
      <c r="C307" s="140"/>
      <c r="D307" s="95"/>
      <c r="E307" s="141"/>
      <c r="F307" s="94"/>
      <c r="G307" s="505"/>
      <c r="H307" s="463" t="str">
        <f t="shared" si="365"/>
        <v/>
      </c>
      <c r="I307" s="451"/>
      <c r="J307" s="506"/>
      <c r="K307" s="507"/>
      <c r="L307" s="506"/>
      <c r="M307" s="507"/>
      <c r="N307" s="507"/>
      <c r="O307" s="507"/>
      <c r="P307" s="508"/>
      <c r="Q307" s="512"/>
      <c r="R307" s="534"/>
      <c r="S307" s="131"/>
      <c r="T307" s="470" t="str">
        <f t="shared" si="347"/>
        <v/>
      </c>
      <c r="W307" s="471">
        <f t="shared" ref="W307:X307" si="370">W306</f>
        <v>12</v>
      </c>
      <c r="X307" s="471" t="e">
        <f t="shared" si="370"/>
        <v>#REF!</v>
      </c>
      <c r="Y307" s="471" t="e">
        <f t="shared" si="349"/>
        <v>#REF!</v>
      </c>
      <c r="Z307" s="471"/>
      <c r="AA307" s="471"/>
    </row>
    <row r="308" spans="1:27" s="470" customFormat="1" ht="15.75" customHeight="1" x14ac:dyDescent="0.15">
      <c r="B308" s="95"/>
      <c r="C308" s="140"/>
      <c r="D308" s="95"/>
      <c r="E308" s="141"/>
      <c r="F308" s="94"/>
      <c r="G308" s="505"/>
      <c r="H308" s="463" t="str">
        <f t="shared" si="365"/>
        <v/>
      </c>
      <c r="I308" s="451"/>
      <c r="J308" s="506"/>
      <c r="K308" s="507"/>
      <c r="L308" s="506"/>
      <c r="M308" s="507"/>
      <c r="N308" s="507"/>
      <c r="O308" s="507"/>
      <c r="P308" s="508"/>
      <c r="Q308" s="512"/>
      <c r="R308" s="513"/>
      <c r="S308" s="131"/>
      <c r="T308" s="470" t="str">
        <f t="shared" si="347"/>
        <v/>
      </c>
      <c r="W308" s="471">
        <f t="shared" ref="W308:X308" si="371">W307</f>
        <v>12</v>
      </c>
      <c r="X308" s="471" t="e">
        <f t="shared" si="371"/>
        <v>#REF!</v>
      </c>
      <c r="Y308" s="471" t="e">
        <f t="shared" si="349"/>
        <v>#REF!</v>
      </c>
      <c r="Z308" s="471"/>
      <c r="AA308" s="471"/>
    </row>
    <row r="309" spans="1:27" s="470" customFormat="1" ht="15.75" customHeight="1" x14ac:dyDescent="0.15">
      <c r="B309" s="95"/>
      <c r="C309" s="140"/>
      <c r="D309" s="95"/>
      <c r="E309" s="141"/>
      <c r="F309" s="94"/>
      <c r="G309" s="505"/>
      <c r="H309" s="463" t="str">
        <f t="shared" si="365"/>
        <v/>
      </c>
      <c r="I309" s="451"/>
      <c r="J309" s="506"/>
      <c r="K309" s="507"/>
      <c r="L309" s="506"/>
      <c r="M309" s="507"/>
      <c r="N309" s="507"/>
      <c r="O309" s="507"/>
      <c r="P309" s="508"/>
      <c r="Q309" s="512"/>
      <c r="R309" s="513"/>
      <c r="S309" s="131"/>
      <c r="T309" s="470" t="str">
        <f t="shared" si="347"/>
        <v/>
      </c>
      <c r="W309" s="471">
        <f t="shared" ref="W309:X309" si="372">W308</f>
        <v>12</v>
      </c>
      <c r="X309" s="471" t="e">
        <f t="shared" si="372"/>
        <v>#REF!</v>
      </c>
      <c r="Y309" s="471" t="e">
        <f t="shared" si="349"/>
        <v>#REF!</v>
      </c>
      <c r="Z309" s="471"/>
      <c r="AA309" s="471"/>
    </row>
    <row r="310" spans="1:27" s="470" customFormat="1" ht="15.75" customHeight="1" x14ac:dyDescent="0.15">
      <c r="A310" s="457"/>
      <c r="B310" s="514" t="s">
        <v>346</v>
      </c>
      <c r="C310" s="515"/>
      <c r="D310" s="516"/>
      <c r="E310" s="517"/>
      <c r="F310" s="518"/>
      <c r="G310" s="519"/>
      <c r="H310" s="463" t="str">
        <f t="shared" si="365"/>
        <v/>
      </c>
      <c r="I310" s="520">
        <f>목록!$B$17</f>
        <v>12</v>
      </c>
      <c r="J310" s="521"/>
      <c r="K310" s="522">
        <f>SUM(K296:K309)</f>
        <v>7178</v>
      </c>
      <c r="L310" s="521"/>
      <c r="M310" s="522">
        <f>SUM(M296:M309)</f>
        <v>11736</v>
      </c>
      <c r="N310" s="521"/>
      <c r="O310" s="522">
        <f>SUM(O296:O309)</f>
        <v>0</v>
      </c>
      <c r="P310" s="523"/>
      <c r="Q310" s="512"/>
      <c r="R310" s="513"/>
      <c r="S310" s="524"/>
      <c r="T310" s="470" t="str">
        <f t="shared" si="347"/>
        <v/>
      </c>
      <c r="W310" s="471">
        <f t="shared" ref="W310:X310" si="373">W309</f>
        <v>12</v>
      </c>
      <c r="X310" s="471" t="e">
        <f t="shared" si="373"/>
        <v>#REF!</v>
      </c>
      <c r="Y310" s="471" t="e">
        <f t="shared" si="349"/>
        <v>#REF!</v>
      </c>
      <c r="Z310" s="471"/>
      <c r="AA310" s="471"/>
    </row>
    <row r="311" spans="1:27" s="470" customFormat="1" ht="15.75" customHeight="1" x14ac:dyDescent="0.15">
      <c r="B311" s="453"/>
      <c r="C311" s="209" t="s">
        <v>1013</v>
      </c>
      <c r="D311" s="95"/>
      <c r="E311" s="141"/>
      <c r="F311" s="94"/>
      <c r="G311" s="505"/>
      <c r="H311" s="463" t="str">
        <f t="shared" si="365"/>
        <v>※ 건축표준품셈 : 11-1-3 건축물 내부목공사 4. 수장합판</v>
      </c>
      <c r="I311" s="451"/>
      <c r="J311" s="506"/>
      <c r="K311" s="507"/>
      <c r="L311" s="506"/>
      <c r="M311" s="507"/>
      <c r="N311" s="507"/>
      <c r="O311" s="507"/>
      <c r="P311" s="508"/>
      <c r="Q311" s="512"/>
      <c r="R311" s="513"/>
      <c r="S311" s="131"/>
      <c r="T311" s="470" t="str">
        <f t="shared" si="347"/>
        <v/>
      </c>
      <c r="W311" s="615">
        <f t="shared" ref="W311:X311" si="374">W310</f>
        <v>12</v>
      </c>
      <c r="X311" s="471" t="e">
        <f t="shared" si="374"/>
        <v>#REF!</v>
      </c>
      <c r="Y311" s="471" t="e">
        <f t="shared" si="349"/>
        <v>#REF!</v>
      </c>
      <c r="Z311" s="471"/>
      <c r="AA311" s="471"/>
    </row>
    <row r="312" spans="1:27" s="457" customFormat="1" ht="15.75" customHeight="1" x14ac:dyDescent="0.15">
      <c r="A312" s="470"/>
      <c r="B312" s="453"/>
      <c r="C312" s="209"/>
      <c r="D312" s="95"/>
      <c r="E312" s="141"/>
      <c r="F312" s="94"/>
      <c r="G312" s="505"/>
      <c r="H312" s="463" t="str">
        <f t="shared" si="365"/>
        <v/>
      </c>
      <c r="I312" s="451"/>
      <c r="J312" s="506"/>
      <c r="K312" s="507"/>
      <c r="L312" s="506"/>
      <c r="M312" s="507"/>
      <c r="N312" s="507"/>
      <c r="O312" s="507"/>
      <c r="P312" s="508"/>
      <c r="Q312" s="512"/>
      <c r="R312" s="513"/>
      <c r="S312" s="131"/>
      <c r="T312" s="470" t="str">
        <f t="shared" si="347"/>
        <v/>
      </c>
      <c r="V312" s="470"/>
      <c r="W312" s="471">
        <f t="shared" ref="W312:X312" si="375">W311</f>
        <v>12</v>
      </c>
      <c r="X312" s="471" t="e">
        <f t="shared" si="375"/>
        <v>#REF!</v>
      </c>
      <c r="Y312" s="471" t="e">
        <f t="shared" si="349"/>
        <v>#REF!</v>
      </c>
      <c r="Z312" s="471"/>
      <c r="AA312" s="471"/>
    </row>
    <row r="313" spans="1:27" s="470" customFormat="1" ht="15.75" customHeight="1" x14ac:dyDescent="0.15">
      <c r="A313" s="457"/>
      <c r="B313" s="560"/>
      <c r="C313" s="543"/>
      <c r="D313" s="516"/>
      <c r="E313" s="517"/>
      <c r="F313" s="518"/>
      <c r="G313" s="519"/>
      <c r="H313" s="463" t="str">
        <f t="shared" si="365"/>
        <v/>
      </c>
      <c r="I313" s="520"/>
      <c r="J313" s="521"/>
      <c r="K313" s="522"/>
      <c r="L313" s="521"/>
      <c r="M313" s="522"/>
      <c r="N313" s="521"/>
      <c r="O313" s="522"/>
      <c r="P313" s="523"/>
      <c r="Q313" s="512"/>
      <c r="R313" s="513"/>
      <c r="S313" s="524"/>
      <c r="T313" s="470" t="str">
        <f t="shared" si="347"/>
        <v/>
      </c>
      <c r="W313" s="471">
        <f t="shared" ref="W313:X313" si="376">W312</f>
        <v>12</v>
      </c>
      <c r="X313" s="471" t="e">
        <f t="shared" si="376"/>
        <v>#REF!</v>
      </c>
      <c r="Y313" s="471" t="e">
        <f t="shared" si="349"/>
        <v>#REF!</v>
      </c>
      <c r="Z313" s="471"/>
      <c r="AA313" s="471"/>
    </row>
    <row r="314" spans="1:27" s="470" customFormat="1" ht="15.75" customHeight="1" x14ac:dyDescent="0.15">
      <c r="A314" s="457"/>
      <c r="B314" s="457"/>
      <c r="C314" s="458"/>
      <c r="D314" s="459"/>
      <c r="E314" s="460"/>
      <c r="F314" s="461"/>
      <c r="G314" s="462"/>
      <c r="H314" s="463" t="str">
        <f t="shared" ref="H314:H323" si="377">CONCATENATE(C314,E314,F314)</f>
        <v/>
      </c>
      <c r="I314" s="464"/>
      <c r="J314" s="465"/>
      <c r="K314" s="465"/>
      <c r="L314" s="465"/>
      <c r="M314" s="465"/>
      <c r="N314" s="465"/>
      <c r="O314" s="487"/>
      <c r="P314" s="467"/>
      <c r="Q314" s="468"/>
      <c r="R314" s="469"/>
      <c r="S314" s="467"/>
      <c r="T314" s="470" t="str">
        <f t="shared" ref="T314:T327" si="378">CONCATENATE(Q314,R314)</f>
        <v/>
      </c>
      <c r="W314" s="533">
        <f t="shared" ref="W314" si="379">I336</f>
        <v>13</v>
      </c>
      <c r="X314" s="533" t="e">
        <f>#REF!+1</f>
        <v>#REF!</v>
      </c>
      <c r="Y314" s="533" t="e">
        <f t="shared" ref="Y314:Y339" si="380">X314-W314</f>
        <v>#REF!</v>
      </c>
      <c r="Z314" s="533"/>
      <c r="AA314" s="533"/>
    </row>
    <row r="315" spans="1:27" s="457" customFormat="1" ht="15.75" customHeight="1" x14ac:dyDescent="0.15">
      <c r="B315" s="473"/>
      <c r="C315" s="474" t="str">
        <f>"   항목번호 : "&amp;목록!L$18</f>
        <v xml:space="preserve">   항목번호 : 제13호표</v>
      </c>
      <c r="D315" s="475" t="e">
        <f>목록!#REF!</f>
        <v>#REF!</v>
      </c>
      <c r="E315" s="476"/>
      <c r="F315" s="477"/>
      <c r="G315" s="478"/>
      <c r="H315" s="463" t="str">
        <f t="shared" si="377"/>
        <v xml:space="preserve">   항목번호 : 제13호표</v>
      </c>
      <c r="I315" s="479"/>
      <c r="J315" s="480"/>
      <c r="K315" s="481"/>
      <c r="L315" s="482"/>
      <c r="M315" s="482"/>
      <c r="N315" s="482"/>
      <c r="O315" s="487"/>
      <c r="P315" s="483"/>
      <c r="Q315" s="484"/>
      <c r="R315" s="485"/>
      <c r="S315" s="483"/>
      <c r="T315" s="470" t="str">
        <f t="shared" si="378"/>
        <v/>
      </c>
      <c r="V315" s="470"/>
      <c r="W315" s="471">
        <f t="shared" ref="W315:X315" si="381">W314</f>
        <v>13</v>
      </c>
      <c r="X315" s="471" t="e">
        <f t="shared" si="381"/>
        <v>#REF!</v>
      </c>
      <c r="Y315" s="471" t="e">
        <f t="shared" si="380"/>
        <v>#REF!</v>
      </c>
      <c r="Z315" s="471"/>
      <c r="AA315" s="471"/>
    </row>
    <row r="316" spans="1:27" s="457" customFormat="1" ht="15.75" customHeight="1" x14ac:dyDescent="0.15">
      <c r="B316" s="473"/>
      <c r="C316" s="474" t="str">
        <f>"   공      종 : "&amp;목록!D$18</f>
        <v xml:space="preserve">   공      종 : 섬유판가공취부(벽체)</v>
      </c>
      <c r="D316" s="484"/>
      <c r="E316" s="476"/>
      <c r="F316" s="473"/>
      <c r="G316" s="478"/>
      <c r="H316" s="463" t="str">
        <f t="shared" si="377"/>
        <v xml:space="preserve">   공      종 : 섬유판가공취부(벽체)</v>
      </c>
      <c r="I316" s="479"/>
      <c r="J316" s="480"/>
      <c r="K316" s="481"/>
      <c r="L316" s="482"/>
      <c r="M316" s="482"/>
      <c r="N316" s="482"/>
      <c r="O316" s="487"/>
      <c r="P316" s="483"/>
      <c r="Q316" s="484"/>
      <c r="R316" s="485"/>
      <c r="S316" s="483"/>
      <c r="T316" s="470" t="str">
        <f t="shared" si="378"/>
        <v/>
      </c>
      <c r="V316" s="470"/>
      <c r="W316" s="471">
        <f t="shared" ref="W316:X316" si="382">W315</f>
        <v>13</v>
      </c>
      <c r="X316" s="471" t="e">
        <f t="shared" si="382"/>
        <v>#REF!</v>
      </c>
      <c r="Y316" s="471" t="e">
        <f t="shared" si="380"/>
        <v>#REF!</v>
      </c>
      <c r="Z316" s="471"/>
      <c r="AA316" s="471"/>
    </row>
    <row r="317" spans="1:27" s="457" customFormat="1" ht="15.75" customHeight="1" x14ac:dyDescent="0.15">
      <c r="B317" s="473"/>
      <c r="C317" s="474" t="str">
        <f xml:space="preserve"> "   규      격 : "&amp;목록!F$18</f>
        <v xml:space="preserve">   규      격 : THK=9mm * 1PLY, 집기/하우징류</v>
      </c>
      <c r="D317" s="484"/>
      <c r="E317" s="476"/>
      <c r="F317" s="473"/>
      <c r="G317" s="478"/>
      <c r="H317" s="463" t="str">
        <f t="shared" si="377"/>
        <v xml:space="preserve">   규      격 : THK=9mm * 1PLY, 집기/하우징류</v>
      </c>
      <c r="I317" s="479"/>
      <c r="J317" s="480" t="s">
        <v>348</v>
      </c>
      <c r="K317" s="481"/>
      <c r="L317" s="482" t="s">
        <v>349</v>
      </c>
      <c r="M317" s="482"/>
      <c r="N317" s="482" t="s">
        <v>240</v>
      </c>
      <c r="O317" s="487"/>
      <c r="P317" s="483"/>
      <c r="Q317" s="484" t="s">
        <v>798</v>
      </c>
      <c r="R317" s="484"/>
      <c r="S317" s="483"/>
      <c r="T317" s="470" t="str">
        <f t="shared" si="378"/>
        <v>합계</v>
      </c>
      <c r="V317" s="470"/>
      <c r="W317" s="471">
        <f t="shared" ref="W317:X317" si="383">W316</f>
        <v>13</v>
      </c>
      <c r="X317" s="471" t="e">
        <f t="shared" si="383"/>
        <v>#REF!</v>
      </c>
      <c r="Y317" s="471" t="e">
        <f t="shared" si="380"/>
        <v>#REF!</v>
      </c>
      <c r="Z317" s="471"/>
      <c r="AA317" s="471"/>
    </row>
    <row r="318" spans="1:27" s="457" customFormat="1" ht="15.75" customHeight="1" x14ac:dyDescent="0.15">
      <c r="B318" s="473"/>
      <c r="C318" s="474" t="str">
        <f>"   단      위 : "&amp;목록!G$18</f>
        <v xml:space="preserve">   단      위 : ㎡</v>
      </c>
      <c r="D318" s="484"/>
      <c r="E318" s="476"/>
      <c r="F318" s="473"/>
      <c r="G318" s="478"/>
      <c r="H318" s="463" t="str">
        <f t="shared" si="377"/>
        <v xml:space="preserve">   단      위 : ㎡</v>
      </c>
      <c r="I318" s="479"/>
      <c r="J318" s="486">
        <f>K336</f>
        <v>7570</v>
      </c>
      <c r="K318" s="481"/>
      <c r="L318" s="487">
        <f>M336</f>
        <v>15117</v>
      </c>
      <c r="M318" s="482"/>
      <c r="N318" s="482">
        <f>O336</f>
        <v>0</v>
      </c>
      <c r="O318" s="487"/>
      <c r="P318" s="483"/>
      <c r="Q318" s="488">
        <f>J318+L318+N318</f>
        <v>22687</v>
      </c>
      <c r="R318" s="489"/>
      <c r="S318" s="483"/>
      <c r="T318" s="470" t="str">
        <f t="shared" si="378"/>
        <v>22687</v>
      </c>
      <c r="V318" s="470"/>
      <c r="W318" s="471">
        <f t="shared" ref="W318:X318" si="384">W317</f>
        <v>13</v>
      </c>
      <c r="X318" s="471" t="e">
        <f t="shared" si="384"/>
        <v>#REF!</v>
      </c>
      <c r="Y318" s="471" t="e">
        <f t="shared" si="380"/>
        <v>#REF!</v>
      </c>
      <c r="Z318" s="471"/>
      <c r="AA318" s="471"/>
    </row>
    <row r="319" spans="1:27" s="457" customFormat="1" ht="15.75" customHeight="1" x14ac:dyDescent="0.15">
      <c r="B319" s="473"/>
      <c r="C319" s="474"/>
      <c r="D319" s="484"/>
      <c r="E319" s="476"/>
      <c r="F319" s="473"/>
      <c r="G319" s="490"/>
      <c r="H319" s="463" t="str">
        <f t="shared" si="377"/>
        <v/>
      </c>
      <c r="I319" s="491"/>
      <c r="J319" s="482"/>
      <c r="K319" s="465"/>
      <c r="L319" s="482"/>
      <c r="M319" s="482"/>
      <c r="N319" s="482"/>
      <c r="O319" s="487"/>
      <c r="P319" s="492"/>
      <c r="Q319" s="493"/>
      <c r="R319" s="485"/>
      <c r="S319" s="492"/>
      <c r="T319" s="470" t="str">
        <f t="shared" si="378"/>
        <v/>
      </c>
      <c r="V319" s="470"/>
      <c r="W319" s="471">
        <f t="shared" ref="W319:X319" si="385">W318</f>
        <v>13</v>
      </c>
      <c r="X319" s="471" t="e">
        <f t="shared" si="385"/>
        <v>#REF!</v>
      </c>
      <c r="Y319" s="471" t="e">
        <f t="shared" si="380"/>
        <v>#REF!</v>
      </c>
      <c r="Z319" s="471"/>
      <c r="AA319" s="471"/>
    </row>
    <row r="320" spans="1:27" s="457" customFormat="1" ht="15.75" customHeight="1" x14ac:dyDescent="0.15">
      <c r="A320" s="547"/>
      <c r="B320" s="899" t="s">
        <v>375</v>
      </c>
      <c r="C320" s="900"/>
      <c r="D320" s="915" t="s">
        <v>356</v>
      </c>
      <c r="E320" s="908"/>
      <c r="F320" s="903" t="s">
        <v>760</v>
      </c>
      <c r="G320" s="913" t="s">
        <v>754</v>
      </c>
      <c r="H320" s="463" t="str">
        <f t="shared" si="377"/>
        <v>단위</v>
      </c>
      <c r="I320" s="575"/>
      <c r="J320" s="495" t="s">
        <v>348</v>
      </c>
      <c r="K320" s="496"/>
      <c r="L320" s="495" t="s">
        <v>349</v>
      </c>
      <c r="M320" s="496"/>
      <c r="N320" s="497" t="s">
        <v>240</v>
      </c>
      <c r="O320" s="497"/>
      <c r="P320" s="498"/>
      <c r="Q320" s="744" t="s">
        <v>355</v>
      </c>
      <c r="R320" s="744"/>
      <c r="S320" s="499"/>
      <c r="T320" s="470" t="str">
        <f t="shared" si="378"/>
        <v>비  고</v>
      </c>
      <c r="V320" s="470"/>
      <c r="W320" s="471">
        <f t="shared" ref="W320:X320" si="386">W319</f>
        <v>13</v>
      </c>
      <c r="X320" s="471" t="e">
        <f t="shared" si="386"/>
        <v>#REF!</v>
      </c>
      <c r="Y320" s="471" t="e">
        <f t="shared" si="380"/>
        <v>#REF!</v>
      </c>
      <c r="Z320" s="471"/>
      <c r="AA320" s="471"/>
    </row>
    <row r="321" spans="1:27" s="457" customFormat="1" ht="15.75" customHeight="1" x14ac:dyDescent="0.15">
      <c r="A321" s="547"/>
      <c r="B321" s="901"/>
      <c r="C321" s="902"/>
      <c r="D321" s="916"/>
      <c r="E321" s="910"/>
      <c r="F321" s="904"/>
      <c r="G321" s="914"/>
      <c r="H321" s="463" t="str">
        <f t="shared" si="377"/>
        <v/>
      </c>
      <c r="I321" s="576"/>
      <c r="J321" s="501" t="s">
        <v>353</v>
      </c>
      <c r="K321" s="501" t="s">
        <v>354</v>
      </c>
      <c r="L321" s="501" t="s">
        <v>353</v>
      </c>
      <c r="M321" s="577" t="s">
        <v>354</v>
      </c>
      <c r="N321" s="501" t="s">
        <v>353</v>
      </c>
      <c r="O321" s="501" t="s">
        <v>354</v>
      </c>
      <c r="P321" s="503"/>
      <c r="Q321" s="745"/>
      <c r="R321" s="745"/>
      <c r="S321" s="504"/>
      <c r="T321" s="470" t="str">
        <f t="shared" si="378"/>
        <v/>
      </c>
      <c r="V321" s="470"/>
      <c r="W321" s="471">
        <f t="shared" ref="W321:X321" si="387">W320</f>
        <v>13</v>
      </c>
      <c r="X321" s="471" t="e">
        <f t="shared" si="387"/>
        <v>#REF!</v>
      </c>
      <c r="Y321" s="471" t="e">
        <f t="shared" si="380"/>
        <v>#REF!</v>
      </c>
      <c r="Z321" s="471"/>
      <c r="AA321" s="471"/>
    </row>
    <row r="322" spans="1:27" s="457" customFormat="1" ht="15.75" customHeight="1" x14ac:dyDescent="0.15">
      <c r="A322" s="470"/>
      <c r="B322" s="95"/>
      <c r="C322" s="140" t="s">
        <v>441</v>
      </c>
      <c r="D322" s="95"/>
      <c r="E322" s="541" t="s">
        <v>959</v>
      </c>
      <c r="F322" s="94" t="s">
        <v>350</v>
      </c>
      <c r="G322" s="505">
        <f>TRUNC(1.15,4)</f>
        <v>1.1499999999999999</v>
      </c>
      <c r="H322" s="463" t="str">
        <f t="shared" si="377"/>
        <v>M.D.FTHK=9mm, EO㎡</v>
      </c>
      <c r="I322" s="451" t="str">
        <f>CONCATENATE(C322,E322,F322)</f>
        <v>M.D.FTHK=9mm, EO㎡</v>
      </c>
      <c r="J322" s="506">
        <f>IF(OR($F322="인",$F322=""),"",VLOOKUP($H322,단가!$A:$S,19,FALSE))</f>
        <v>3728</v>
      </c>
      <c r="K322" s="507">
        <f t="shared" ref="K322:K328" si="388">IF(J322="","",TRUNC($G322*J322,0))</f>
        <v>4287</v>
      </c>
      <c r="L322" s="506" t="str">
        <f>IF($F322="인",VLOOKUP($C:$C,노임!$C:$G,4,FALSE),"")</f>
        <v/>
      </c>
      <c r="M322" s="507" t="str">
        <f>IF(L322="","",TRUNC($G322*L322,0))</f>
        <v/>
      </c>
      <c r="N322" s="507"/>
      <c r="O322" s="507" t="str">
        <f>IF(N322="","",TRUNC($G322*N322,0))</f>
        <v/>
      </c>
      <c r="P322" s="508"/>
      <c r="Q322" s="509" t="str">
        <f>IF(F322="인","노임"&amp;VLOOKUP($C:$C,노임!C:G,5,FALSE)&amp;"번","단가"&amp;VLOOKUP($H:$H,단가!$A:$B,2,FALSE)&amp;"번")</f>
        <v>단가52번</v>
      </c>
      <c r="R322" s="510"/>
      <c r="S322" s="131"/>
      <c r="T322" s="470" t="str">
        <f t="shared" si="378"/>
        <v>단가52번</v>
      </c>
      <c r="V322" s="470"/>
      <c r="W322" s="471">
        <f t="shared" ref="W322:X322" si="389">W321</f>
        <v>13</v>
      </c>
      <c r="X322" s="471" t="e">
        <f t="shared" si="389"/>
        <v>#REF!</v>
      </c>
      <c r="Y322" s="471" t="e">
        <f t="shared" si="380"/>
        <v>#REF!</v>
      </c>
      <c r="Z322" s="471"/>
      <c r="AA322" s="471"/>
    </row>
    <row r="323" spans="1:27" s="457" customFormat="1" ht="15.75" customHeight="1" x14ac:dyDescent="0.15">
      <c r="A323" s="470"/>
      <c r="B323" s="95"/>
      <c r="C323" s="140" t="s">
        <v>824</v>
      </c>
      <c r="D323" s="95"/>
      <c r="E323" s="141" t="s">
        <v>825</v>
      </c>
      <c r="F323" s="94" t="s">
        <v>800</v>
      </c>
      <c r="G323" s="505">
        <f>TRUNC(0.27,4)</f>
        <v>0.27</v>
      </c>
      <c r="H323" s="463" t="str">
        <f t="shared" si="377"/>
        <v>접착제합판용Kg</v>
      </c>
      <c r="I323" s="451" t="str">
        <f>CONCATENATE(C323,E323,F323)</f>
        <v>접착제합판용Kg</v>
      </c>
      <c r="J323" s="506">
        <f>IF(OR($F323="인",$F323=""),"",VLOOKUP($H323,단가!$A:$S,19,FALSE))</f>
        <v>10500</v>
      </c>
      <c r="K323" s="507">
        <f t="shared" si="388"/>
        <v>2835</v>
      </c>
      <c r="L323" s="506" t="str">
        <f>IF($F323="인",VLOOKUP($C:$C,노임!$C:$G,4,FALSE),"")</f>
        <v/>
      </c>
      <c r="M323" s="507" t="str">
        <f>IF(L323="","",TRUNC($G323*L323,0))</f>
        <v/>
      </c>
      <c r="N323" s="507"/>
      <c r="O323" s="507" t="str">
        <f>IF(N323="","",TRUNC($G323*N323,0))</f>
        <v/>
      </c>
      <c r="P323" s="508"/>
      <c r="Q323" s="512" t="str">
        <f>IF(F323="인","노임"&amp;VLOOKUP($C:$C,노임!C:G,5,FALSE)&amp;"번","단가"&amp;VLOOKUP($H:$H,단가!$A:$B,2,FALSE)&amp;"번")</f>
        <v>단가69번</v>
      </c>
      <c r="R323" s="513"/>
      <c r="S323" s="131"/>
      <c r="T323" s="470" t="str">
        <f t="shared" si="378"/>
        <v>단가69번</v>
      </c>
      <c r="V323" s="549"/>
      <c r="W323" s="471">
        <f t="shared" ref="W323:X323" si="390">W322</f>
        <v>13</v>
      </c>
      <c r="X323" s="471" t="e">
        <f t="shared" si="390"/>
        <v>#REF!</v>
      </c>
      <c r="Y323" s="471" t="e">
        <f t="shared" si="380"/>
        <v>#REF!</v>
      </c>
      <c r="Z323" s="471"/>
      <c r="AA323" s="471"/>
    </row>
    <row r="324" spans="1:27" s="457" customFormat="1" ht="15.75" customHeight="1" x14ac:dyDescent="0.15">
      <c r="A324" s="470"/>
      <c r="B324" s="95"/>
      <c r="C324" s="140" t="s">
        <v>572</v>
      </c>
      <c r="D324" s="95"/>
      <c r="E324" s="206" t="s">
        <v>573</v>
      </c>
      <c r="F324" s="94" t="s">
        <v>1017</v>
      </c>
      <c r="G324" s="505">
        <v>1</v>
      </c>
      <c r="H324" s="463" t="str">
        <f t="shared" ref="H324:H349" si="391">CONCATENATE(C324,E324,F324)</f>
        <v>잡재료 및 소모재료주재료비의 5%식</v>
      </c>
      <c r="I324" s="451" t="str">
        <f>CONCATENATE(C324,E324,F324)</f>
        <v>잡재료 및 소모재료주재료비의 5%식</v>
      </c>
      <c r="J324" s="506">
        <f>TRUNC((K322)*5%,0)</f>
        <v>214</v>
      </c>
      <c r="K324" s="507">
        <f t="shared" si="388"/>
        <v>214</v>
      </c>
      <c r="L324" s="506" t="str">
        <f>IF($F324="인",VLOOKUP($C:$C,노임!$C:$G,4,FALSE),"")</f>
        <v/>
      </c>
      <c r="M324" s="507" t="str">
        <f>IF(L324="","",TRUNC($G324*L324,0))</f>
        <v/>
      </c>
      <c r="N324" s="507"/>
      <c r="O324" s="507" t="str">
        <f>IF(N324="","",TRUNC($G324*N324,0))</f>
        <v/>
      </c>
      <c r="P324" s="508"/>
      <c r="Q324" s="509"/>
      <c r="R324" s="510"/>
      <c r="S324" s="131"/>
      <c r="T324" s="470" t="str">
        <f t="shared" si="378"/>
        <v/>
      </c>
      <c r="V324" s="470"/>
      <c r="W324" s="471">
        <f t="shared" ref="W324:X324" si="392">W323</f>
        <v>13</v>
      </c>
      <c r="X324" s="471" t="e">
        <f t="shared" si="392"/>
        <v>#REF!</v>
      </c>
      <c r="Y324" s="471" t="e">
        <f t="shared" si="380"/>
        <v>#REF!</v>
      </c>
      <c r="Z324" s="471"/>
      <c r="AA324" s="471"/>
    </row>
    <row r="325" spans="1:27" s="470" customFormat="1" ht="15.75" customHeight="1" x14ac:dyDescent="0.15">
      <c r="B325" s="95"/>
      <c r="C325" s="140" t="s">
        <v>749</v>
      </c>
      <c r="D325" s="95"/>
      <c r="E325" s="141"/>
      <c r="F325" s="94" t="s">
        <v>750</v>
      </c>
      <c r="G325" s="505">
        <f>TRUNC(0.065,4)</f>
        <v>6.5000000000000002E-2</v>
      </c>
      <c r="H325" s="463" t="str">
        <f t="shared" si="391"/>
        <v>건축목공인</v>
      </c>
      <c r="I325" s="451" t="str">
        <f>CONCATENATE(C325,E325,F325)</f>
        <v>건축목공인</v>
      </c>
      <c r="J325" s="506" t="str">
        <f>IF(OR($F325="인",$F325=""),"",VLOOKUP($H325,단가!$A:$S,19,FALSE))</f>
        <v/>
      </c>
      <c r="K325" s="507" t="str">
        <f t="shared" si="388"/>
        <v/>
      </c>
      <c r="L325" s="506">
        <f>IF($F325="인",VLOOKUP($C:$C,노임!$C:$G,4,FALSE),"")</f>
        <v>169062</v>
      </c>
      <c r="M325" s="507">
        <f>IF(L325="","",TRUNC($G325*L325,0))</f>
        <v>10989</v>
      </c>
      <c r="N325" s="507"/>
      <c r="O325" s="507" t="str">
        <f>IF(N325="","",TRUNC($G325*N325,0))</f>
        <v/>
      </c>
      <c r="P325" s="508"/>
      <c r="Q325" s="509" t="str">
        <f>IF(F325="인","노임"&amp;VLOOKUP($C:$C,노임!C:G,5,FALSE)&amp;"번","단가"&amp;VLOOKUP($H:$H,단가!$A:$B,2,FALSE)&amp;"번")</f>
        <v>노임1023번</v>
      </c>
      <c r="R325" s="510"/>
      <c r="S325" s="131"/>
      <c r="T325" s="470" t="str">
        <f t="shared" si="378"/>
        <v>노임1023번</v>
      </c>
      <c r="W325" s="471">
        <f t="shared" ref="W325:X325" si="393">W324</f>
        <v>13</v>
      </c>
      <c r="X325" s="471" t="e">
        <f t="shared" si="393"/>
        <v>#REF!</v>
      </c>
      <c r="Y325" s="471" t="e">
        <f t="shared" si="380"/>
        <v>#REF!</v>
      </c>
      <c r="Z325" s="471"/>
      <c r="AA325" s="471"/>
    </row>
    <row r="326" spans="1:27" s="470" customFormat="1" ht="15.75" customHeight="1" x14ac:dyDescent="0.15">
      <c r="B326" s="95"/>
      <c r="C326" s="140" t="s">
        <v>767</v>
      </c>
      <c r="D326" s="95"/>
      <c r="E326" s="141"/>
      <c r="F326" s="94" t="s">
        <v>750</v>
      </c>
      <c r="G326" s="505">
        <f>TRUNC(0.007,4)</f>
        <v>7.0000000000000001E-3</v>
      </c>
      <c r="H326" s="463" t="str">
        <f t="shared" si="391"/>
        <v>보통인부인</v>
      </c>
      <c r="I326" s="451"/>
      <c r="J326" s="506" t="str">
        <f>IF(OR($F326="인",$F326=""),"",VLOOKUP($H326,단가!$A:$S,19,FALSE))</f>
        <v/>
      </c>
      <c r="K326" s="507" t="str">
        <f t="shared" si="388"/>
        <v/>
      </c>
      <c r="L326" s="506">
        <f>IF($F326="인",VLOOKUP($C:$C,노임!$C:$G,4,FALSE),"")</f>
        <v>106846</v>
      </c>
      <c r="M326" s="507">
        <f>IF(L326="","",TRUNC($G326*L326,0))</f>
        <v>747</v>
      </c>
      <c r="N326" s="507"/>
      <c r="O326" s="507" t="str">
        <f>IF(N326="","",TRUNC($G326*N326,0))</f>
        <v/>
      </c>
      <c r="P326" s="508"/>
      <c r="Q326" s="509" t="str">
        <f>IF(F326="인","노임"&amp;VLOOKUP($C:$C,노임!C:G,5,FALSE)&amp;"번","단가"&amp;VLOOKUP($H:$H,단가!$A:$B,2,FALSE)&amp;"번")</f>
        <v>노임1002번</v>
      </c>
      <c r="R326" s="534"/>
      <c r="S326" s="131"/>
      <c r="T326" s="470" t="str">
        <f t="shared" si="378"/>
        <v>노임1002번</v>
      </c>
      <c r="W326" s="471">
        <f t="shared" ref="W326:X326" si="394">W325</f>
        <v>13</v>
      </c>
      <c r="X326" s="471" t="e">
        <f t="shared" si="394"/>
        <v>#REF!</v>
      </c>
      <c r="Y326" s="471" t="e">
        <f t="shared" si="380"/>
        <v>#REF!</v>
      </c>
      <c r="Z326" s="471"/>
      <c r="AA326" s="471"/>
    </row>
    <row r="327" spans="1:27" s="470" customFormat="1" ht="15.75" customHeight="1" x14ac:dyDescent="0.15">
      <c r="B327" s="95"/>
      <c r="C327" s="140" t="s">
        <v>766</v>
      </c>
      <c r="D327" s="95"/>
      <c r="E327" s="141" t="s">
        <v>518</v>
      </c>
      <c r="F327" s="94" t="s">
        <v>777</v>
      </c>
      <c r="G327" s="505">
        <v>1</v>
      </c>
      <c r="H327" s="463" t="str">
        <f t="shared" si="391"/>
        <v>공구손료인력품의 2%식</v>
      </c>
      <c r="I327" s="451"/>
      <c r="J327" s="506">
        <f>TRUNC((M325+M326)*2%,0)</f>
        <v>234</v>
      </c>
      <c r="K327" s="507">
        <f t="shared" si="388"/>
        <v>234</v>
      </c>
      <c r="L327" s="506"/>
      <c r="M327" s="507"/>
      <c r="N327" s="507"/>
      <c r="O327" s="507"/>
      <c r="P327" s="508"/>
      <c r="Q327" s="512"/>
      <c r="R327" s="534"/>
      <c r="S327" s="131"/>
      <c r="T327" s="470" t="str">
        <f t="shared" si="378"/>
        <v/>
      </c>
      <c r="W327" s="471">
        <f t="shared" ref="W327:X327" si="395">W326</f>
        <v>13</v>
      </c>
      <c r="X327" s="471" t="e">
        <f t="shared" si="395"/>
        <v>#REF!</v>
      </c>
      <c r="Y327" s="471" t="e">
        <f t="shared" si="380"/>
        <v>#REF!</v>
      </c>
      <c r="Z327" s="471"/>
      <c r="AA327" s="471"/>
    </row>
    <row r="328" spans="1:27" s="470" customFormat="1" ht="15.75" customHeight="1" x14ac:dyDescent="0.15">
      <c r="B328" s="95"/>
      <c r="C328" s="140" t="s">
        <v>822</v>
      </c>
      <c r="D328" s="95"/>
      <c r="E328" s="643" t="s">
        <v>1298</v>
      </c>
      <c r="F328" s="94" t="s">
        <v>750</v>
      </c>
      <c r="G328" s="505">
        <v>0.02</v>
      </c>
      <c r="H328" s="463" t="str">
        <f t="shared" si="391"/>
        <v>건축목공집기 파츠별 도안가공인</v>
      </c>
      <c r="I328" s="451" t="str">
        <f>CONCATENATE(C328,E328,F328)</f>
        <v>건축목공집기 파츠별 도안가공인</v>
      </c>
      <c r="J328" s="506" t="str">
        <f>IF(OR($F328="인",$F328=""),"",VLOOKUP($H328,단가!$A:$S,19,FALSE))</f>
        <v/>
      </c>
      <c r="K328" s="507" t="str">
        <f t="shared" si="388"/>
        <v/>
      </c>
      <c r="L328" s="506">
        <f>IF($F328="인",VLOOKUP($C:$C,노임!$C:$G,4,FALSE),"")</f>
        <v>169062</v>
      </c>
      <c r="M328" s="507">
        <f>IF(L328="","",TRUNC($G328*L328,0))</f>
        <v>3381</v>
      </c>
      <c r="N328" s="507"/>
      <c r="O328" s="507" t="str">
        <f>IF(N328="","",TRUNC($G328*N328,0))</f>
        <v/>
      </c>
      <c r="P328" s="508"/>
      <c r="Q328" s="509" t="str">
        <f>IF(F328="인","노임"&amp;VLOOKUP($C:$C,노임!C:G,5,FALSE)&amp;"번","단가"&amp;VLOOKUP($H:$H,단가!$A:$B,2,FALSE)&amp;"번")</f>
        <v>노임1023번</v>
      </c>
      <c r="R328" s="510"/>
      <c r="S328" s="131"/>
      <c r="T328" s="470" t="str">
        <f t="shared" ref="T328:T353" si="396">CONCATENATE(Q328,R328)</f>
        <v>노임1023번</v>
      </c>
      <c r="W328" s="471">
        <f t="shared" ref="W328:X328" si="397">W327</f>
        <v>13</v>
      </c>
      <c r="X328" s="471" t="e">
        <f t="shared" si="397"/>
        <v>#REF!</v>
      </c>
      <c r="Y328" s="471" t="e">
        <f t="shared" si="380"/>
        <v>#REF!</v>
      </c>
      <c r="Z328" s="471"/>
      <c r="AA328" s="471"/>
    </row>
    <row r="329" spans="1:27" s="470" customFormat="1" ht="15.75" customHeight="1" x14ac:dyDescent="0.15">
      <c r="B329" s="95"/>
      <c r="C329" s="140"/>
      <c r="D329" s="95"/>
      <c r="E329" s="141"/>
      <c r="F329" s="94"/>
      <c r="G329" s="505"/>
      <c r="H329" s="463" t="str">
        <f t="shared" si="391"/>
        <v/>
      </c>
      <c r="I329" s="451"/>
      <c r="J329" s="506"/>
      <c r="K329" s="507"/>
      <c r="L329" s="506"/>
      <c r="M329" s="507"/>
      <c r="N329" s="507"/>
      <c r="O329" s="507"/>
      <c r="P329" s="508"/>
      <c r="Q329" s="512"/>
      <c r="R329" s="513"/>
      <c r="S329" s="131"/>
      <c r="T329" s="470" t="str">
        <f t="shared" si="396"/>
        <v/>
      </c>
      <c r="W329" s="471">
        <f t="shared" ref="W329:X329" si="398">W328</f>
        <v>13</v>
      </c>
      <c r="X329" s="471" t="e">
        <f t="shared" si="398"/>
        <v>#REF!</v>
      </c>
      <c r="Y329" s="471" t="e">
        <f t="shared" si="380"/>
        <v>#REF!</v>
      </c>
      <c r="Z329" s="471"/>
      <c r="AA329" s="471"/>
    </row>
    <row r="330" spans="1:27" s="470" customFormat="1" ht="15.75" customHeight="1" x14ac:dyDescent="0.15">
      <c r="B330" s="95"/>
      <c r="C330" s="140"/>
      <c r="D330" s="95"/>
      <c r="E330" s="141"/>
      <c r="F330" s="94"/>
      <c r="G330" s="505"/>
      <c r="H330" s="463" t="str">
        <f t="shared" si="391"/>
        <v/>
      </c>
      <c r="I330" s="451"/>
      <c r="J330" s="506"/>
      <c r="K330" s="507"/>
      <c r="L330" s="506"/>
      <c r="M330" s="507"/>
      <c r="N330" s="507"/>
      <c r="O330" s="507"/>
      <c r="P330" s="508"/>
      <c r="Q330" s="512"/>
      <c r="R330" s="534"/>
      <c r="S330" s="131"/>
      <c r="T330" s="470" t="str">
        <f t="shared" si="396"/>
        <v/>
      </c>
      <c r="W330" s="471">
        <f t="shared" ref="W330:X330" si="399">W329</f>
        <v>13</v>
      </c>
      <c r="X330" s="471" t="e">
        <f t="shared" si="399"/>
        <v>#REF!</v>
      </c>
      <c r="Y330" s="471" t="e">
        <f t="shared" si="380"/>
        <v>#REF!</v>
      </c>
      <c r="Z330" s="471"/>
      <c r="AA330" s="471"/>
    </row>
    <row r="331" spans="1:27" s="470" customFormat="1" ht="15.75" customHeight="1" x14ac:dyDescent="0.15">
      <c r="B331" s="95"/>
      <c r="C331" s="140"/>
      <c r="D331" s="95"/>
      <c r="E331" s="141"/>
      <c r="F331" s="94"/>
      <c r="G331" s="505"/>
      <c r="H331" s="463" t="str">
        <f t="shared" si="391"/>
        <v/>
      </c>
      <c r="I331" s="451"/>
      <c r="J331" s="506"/>
      <c r="K331" s="507"/>
      <c r="L331" s="506"/>
      <c r="M331" s="507"/>
      <c r="N331" s="507"/>
      <c r="O331" s="507"/>
      <c r="P331" s="508"/>
      <c r="Q331" s="512"/>
      <c r="R331" s="534"/>
      <c r="S331" s="131"/>
      <c r="T331" s="470" t="str">
        <f t="shared" si="396"/>
        <v/>
      </c>
      <c r="W331" s="471">
        <f t="shared" ref="W331:X331" si="400">W330</f>
        <v>13</v>
      </c>
      <c r="X331" s="471" t="e">
        <f t="shared" si="400"/>
        <v>#REF!</v>
      </c>
      <c r="Y331" s="471" t="e">
        <f t="shared" si="380"/>
        <v>#REF!</v>
      </c>
      <c r="Z331" s="471"/>
      <c r="AA331" s="471"/>
    </row>
    <row r="332" spans="1:27" s="470" customFormat="1" ht="15.75" customHeight="1" x14ac:dyDescent="0.15">
      <c r="B332" s="95"/>
      <c r="C332" s="140"/>
      <c r="D332" s="95"/>
      <c r="E332" s="141"/>
      <c r="F332" s="94"/>
      <c r="G332" s="505"/>
      <c r="H332" s="463" t="str">
        <f t="shared" si="391"/>
        <v/>
      </c>
      <c r="I332" s="451"/>
      <c r="J332" s="506"/>
      <c r="K332" s="507"/>
      <c r="L332" s="506"/>
      <c r="M332" s="507"/>
      <c r="N332" s="507"/>
      <c r="O332" s="507"/>
      <c r="P332" s="508"/>
      <c r="Q332" s="512"/>
      <c r="R332" s="534"/>
      <c r="S332" s="131"/>
      <c r="T332" s="470" t="str">
        <f t="shared" si="396"/>
        <v/>
      </c>
      <c r="W332" s="471">
        <f t="shared" ref="W332:X332" si="401">W331</f>
        <v>13</v>
      </c>
      <c r="X332" s="471" t="e">
        <f t="shared" si="401"/>
        <v>#REF!</v>
      </c>
      <c r="Y332" s="471" t="e">
        <f t="shared" si="380"/>
        <v>#REF!</v>
      </c>
      <c r="Z332" s="471"/>
      <c r="AA332" s="471"/>
    </row>
    <row r="333" spans="1:27" s="470" customFormat="1" ht="15.75" customHeight="1" x14ac:dyDescent="0.15">
      <c r="B333" s="95"/>
      <c r="C333" s="140"/>
      <c r="D333" s="95"/>
      <c r="E333" s="141"/>
      <c r="F333" s="94"/>
      <c r="G333" s="505"/>
      <c r="H333" s="463" t="str">
        <f t="shared" si="391"/>
        <v/>
      </c>
      <c r="I333" s="451"/>
      <c r="J333" s="506"/>
      <c r="K333" s="507"/>
      <c r="L333" s="506"/>
      <c r="M333" s="507"/>
      <c r="N333" s="507"/>
      <c r="O333" s="507"/>
      <c r="P333" s="508"/>
      <c r="Q333" s="512"/>
      <c r="R333" s="534"/>
      <c r="S333" s="131"/>
      <c r="T333" s="470" t="str">
        <f t="shared" si="396"/>
        <v/>
      </c>
      <c r="W333" s="471">
        <f t="shared" ref="W333:X333" si="402">W332</f>
        <v>13</v>
      </c>
      <c r="X333" s="471" t="e">
        <f t="shared" si="402"/>
        <v>#REF!</v>
      </c>
      <c r="Y333" s="471" t="e">
        <f t="shared" si="380"/>
        <v>#REF!</v>
      </c>
      <c r="Z333" s="471"/>
      <c r="AA333" s="471"/>
    </row>
    <row r="334" spans="1:27" s="470" customFormat="1" ht="15.75" customHeight="1" x14ac:dyDescent="0.15">
      <c r="B334" s="95"/>
      <c r="C334" s="140"/>
      <c r="D334" s="95"/>
      <c r="E334" s="141"/>
      <c r="F334" s="94"/>
      <c r="G334" s="505"/>
      <c r="H334" s="463" t="str">
        <f t="shared" si="391"/>
        <v/>
      </c>
      <c r="I334" s="451"/>
      <c r="J334" s="506"/>
      <c r="K334" s="507"/>
      <c r="L334" s="506"/>
      <c r="M334" s="507"/>
      <c r="N334" s="507"/>
      <c r="O334" s="507"/>
      <c r="P334" s="508"/>
      <c r="Q334" s="512"/>
      <c r="R334" s="513"/>
      <c r="S334" s="131"/>
      <c r="T334" s="470" t="str">
        <f t="shared" si="396"/>
        <v/>
      </c>
      <c r="W334" s="471">
        <f t="shared" ref="W334:X334" si="403">W333</f>
        <v>13</v>
      </c>
      <c r="X334" s="471" t="e">
        <f t="shared" si="403"/>
        <v>#REF!</v>
      </c>
      <c r="Y334" s="471" t="e">
        <f t="shared" si="380"/>
        <v>#REF!</v>
      </c>
      <c r="Z334" s="471"/>
      <c r="AA334" s="471"/>
    </row>
    <row r="335" spans="1:27" s="470" customFormat="1" ht="15.75" customHeight="1" x14ac:dyDescent="0.15">
      <c r="B335" s="95"/>
      <c r="C335" s="140"/>
      <c r="D335" s="95"/>
      <c r="E335" s="141"/>
      <c r="F335" s="94"/>
      <c r="G335" s="505"/>
      <c r="H335" s="463" t="str">
        <f t="shared" si="391"/>
        <v/>
      </c>
      <c r="I335" s="451"/>
      <c r="J335" s="506"/>
      <c r="K335" s="507"/>
      <c r="L335" s="506"/>
      <c r="M335" s="507"/>
      <c r="N335" s="507"/>
      <c r="O335" s="507"/>
      <c r="P335" s="508"/>
      <c r="Q335" s="512"/>
      <c r="R335" s="513"/>
      <c r="S335" s="131"/>
      <c r="T335" s="470" t="str">
        <f t="shared" si="396"/>
        <v/>
      </c>
      <c r="W335" s="471">
        <f t="shared" ref="W335:X335" si="404">W334</f>
        <v>13</v>
      </c>
      <c r="X335" s="471" t="e">
        <f t="shared" si="404"/>
        <v>#REF!</v>
      </c>
      <c r="Y335" s="471" t="e">
        <f t="shared" si="380"/>
        <v>#REF!</v>
      </c>
      <c r="Z335" s="471"/>
      <c r="AA335" s="471"/>
    </row>
    <row r="336" spans="1:27" s="470" customFormat="1" ht="15.75" customHeight="1" x14ac:dyDescent="0.15">
      <c r="A336" s="457"/>
      <c r="B336" s="514" t="s">
        <v>751</v>
      </c>
      <c r="C336" s="515"/>
      <c r="D336" s="516"/>
      <c r="E336" s="517"/>
      <c r="F336" s="518"/>
      <c r="G336" s="519"/>
      <c r="H336" s="463" t="str">
        <f t="shared" si="391"/>
        <v/>
      </c>
      <c r="I336" s="520">
        <f>목록!$B$18</f>
        <v>13</v>
      </c>
      <c r="J336" s="521"/>
      <c r="K336" s="522">
        <f>SUM(K322:K335)</f>
        <v>7570</v>
      </c>
      <c r="L336" s="521"/>
      <c r="M336" s="522">
        <f>SUM(M322:M335)</f>
        <v>15117</v>
      </c>
      <c r="N336" s="521"/>
      <c r="O336" s="522">
        <f>SUM(O322:O335)</f>
        <v>0</v>
      </c>
      <c r="P336" s="523"/>
      <c r="Q336" s="512"/>
      <c r="R336" s="513"/>
      <c r="S336" s="524"/>
      <c r="T336" s="470" t="str">
        <f t="shared" si="396"/>
        <v/>
      </c>
      <c r="W336" s="471">
        <f t="shared" ref="W336:X336" si="405">W335</f>
        <v>13</v>
      </c>
      <c r="X336" s="471" t="e">
        <f t="shared" si="405"/>
        <v>#REF!</v>
      </c>
      <c r="Y336" s="471" t="e">
        <f t="shared" si="380"/>
        <v>#REF!</v>
      </c>
      <c r="Z336" s="471"/>
      <c r="AA336" s="471"/>
    </row>
    <row r="337" spans="1:27" s="470" customFormat="1" ht="15.75" customHeight="1" x14ac:dyDescent="0.15">
      <c r="B337" s="453"/>
      <c r="C337" s="209" t="s">
        <v>1013</v>
      </c>
      <c r="D337" s="95"/>
      <c r="E337" s="141"/>
      <c r="F337" s="94"/>
      <c r="G337" s="505"/>
      <c r="H337" s="463" t="str">
        <f t="shared" si="391"/>
        <v>※ 건축표준품셈 : 11-1-3 건축물 내부목공사 4. 수장합판</v>
      </c>
      <c r="I337" s="451"/>
      <c r="J337" s="506"/>
      <c r="K337" s="507"/>
      <c r="L337" s="506"/>
      <c r="M337" s="507"/>
      <c r="N337" s="507"/>
      <c r="O337" s="507"/>
      <c r="P337" s="508"/>
      <c r="Q337" s="512"/>
      <c r="R337" s="513"/>
      <c r="S337" s="131"/>
      <c r="T337" s="470" t="str">
        <f t="shared" si="396"/>
        <v/>
      </c>
      <c r="W337" s="615">
        <f t="shared" ref="W337:X337" si="406">W336</f>
        <v>13</v>
      </c>
      <c r="X337" s="471" t="e">
        <f t="shared" si="406"/>
        <v>#REF!</v>
      </c>
      <c r="Y337" s="471" t="e">
        <f t="shared" si="380"/>
        <v>#REF!</v>
      </c>
      <c r="Z337" s="471"/>
      <c r="AA337" s="471"/>
    </row>
    <row r="338" spans="1:27" s="457" customFormat="1" ht="15.75" customHeight="1" x14ac:dyDescent="0.15">
      <c r="A338" s="470"/>
      <c r="B338" s="453"/>
      <c r="C338" s="209" t="s">
        <v>960</v>
      </c>
      <c r="D338" s="95"/>
      <c r="E338" s="141"/>
      <c r="F338" s="94"/>
      <c r="G338" s="505"/>
      <c r="H338" s="463" t="str">
        <f t="shared" si="391"/>
        <v>※ 알판가공 또는 집기류 제작을위한 도안가공품비를 계상하고 자재의 할증을 10% 추가계상함</v>
      </c>
      <c r="I338" s="451"/>
      <c r="J338" s="506"/>
      <c r="K338" s="507"/>
      <c r="L338" s="506"/>
      <c r="M338" s="507"/>
      <c r="N338" s="507"/>
      <c r="O338" s="507"/>
      <c r="P338" s="508"/>
      <c r="Q338" s="512"/>
      <c r="R338" s="513"/>
      <c r="S338" s="131"/>
      <c r="T338" s="470" t="str">
        <f t="shared" si="396"/>
        <v/>
      </c>
      <c r="V338" s="470"/>
      <c r="W338" s="471">
        <f t="shared" ref="W338:X338" si="407">W337</f>
        <v>13</v>
      </c>
      <c r="X338" s="471" t="e">
        <f t="shared" si="407"/>
        <v>#REF!</v>
      </c>
      <c r="Y338" s="471" t="e">
        <f t="shared" si="380"/>
        <v>#REF!</v>
      </c>
      <c r="Z338" s="471"/>
      <c r="AA338" s="471"/>
    </row>
    <row r="339" spans="1:27" s="470" customFormat="1" ht="15.75" customHeight="1" x14ac:dyDescent="0.15">
      <c r="A339" s="457"/>
      <c r="B339" s="560"/>
      <c r="C339" s="543"/>
      <c r="D339" s="516"/>
      <c r="E339" s="517"/>
      <c r="F339" s="518"/>
      <c r="G339" s="519"/>
      <c r="H339" s="463" t="str">
        <f t="shared" si="391"/>
        <v/>
      </c>
      <c r="I339" s="520"/>
      <c r="J339" s="521"/>
      <c r="K339" s="522"/>
      <c r="L339" s="521"/>
      <c r="M339" s="522"/>
      <c r="N339" s="521"/>
      <c r="O339" s="522"/>
      <c r="P339" s="523"/>
      <c r="Q339" s="512"/>
      <c r="R339" s="513"/>
      <c r="S339" s="524"/>
      <c r="T339" s="470" t="str">
        <f t="shared" si="396"/>
        <v/>
      </c>
      <c r="W339" s="471">
        <f t="shared" ref="W339:X339" si="408">W338</f>
        <v>13</v>
      </c>
      <c r="X339" s="471" t="e">
        <f t="shared" si="408"/>
        <v>#REF!</v>
      </c>
      <c r="Y339" s="471" t="e">
        <f t="shared" si="380"/>
        <v>#REF!</v>
      </c>
      <c r="Z339" s="471"/>
      <c r="AA339" s="471"/>
    </row>
    <row r="340" spans="1:27" s="599" customFormat="1" ht="15.75" customHeight="1" x14ac:dyDescent="0.15">
      <c r="A340" s="473"/>
      <c r="B340" s="473"/>
      <c r="C340" s="458"/>
      <c r="D340" s="459"/>
      <c r="E340" s="460"/>
      <c r="F340" s="461"/>
      <c r="G340" s="462"/>
      <c r="H340" s="463" t="str">
        <f t="shared" si="391"/>
        <v/>
      </c>
      <c r="I340" s="464"/>
      <c r="J340" s="465"/>
      <c r="K340" s="465"/>
      <c r="L340" s="465"/>
      <c r="M340" s="465"/>
      <c r="N340" s="465"/>
      <c r="O340" s="487"/>
      <c r="P340" s="467"/>
      <c r="Q340" s="468"/>
      <c r="R340" s="526"/>
      <c r="S340" s="467"/>
      <c r="T340" s="599" t="str">
        <f t="shared" si="396"/>
        <v/>
      </c>
      <c r="W340" s="533">
        <f t="shared" ref="W340" si="409">I362</f>
        <v>14</v>
      </c>
      <c r="X340" s="533" t="e">
        <f t="shared" ref="X340" si="410">X339+1</f>
        <v>#REF!</v>
      </c>
      <c r="Y340" s="533" t="e">
        <f t="shared" ref="Y340:Y365" si="411">X340-W340</f>
        <v>#REF!</v>
      </c>
      <c r="Z340" s="533"/>
      <c r="AA340" s="533"/>
    </row>
    <row r="341" spans="1:27" s="473" customFormat="1" ht="15.75" customHeight="1" x14ac:dyDescent="0.15">
      <c r="C341" s="746" t="str">
        <f>"   항목번호 : "&amp;목록!L$19</f>
        <v xml:space="preserve">   항목번호 : 제14호표</v>
      </c>
      <c r="D341" s="475" t="e">
        <f>목록!#REF!</f>
        <v>#REF!</v>
      </c>
      <c r="E341" s="476"/>
      <c r="F341" s="477"/>
      <c r="G341" s="478"/>
      <c r="H341" s="463" t="str">
        <f t="shared" si="391"/>
        <v xml:space="preserve">   항목번호 : 제14호표</v>
      </c>
      <c r="I341" s="479"/>
      <c r="J341" s="488"/>
      <c r="K341" s="481"/>
      <c r="L341" s="482"/>
      <c r="M341" s="482"/>
      <c r="N341" s="482"/>
      <c r="O341" s="487"/>
      <c r="P341" s="483"/>
      <c r="Q341" s="654"/>
      <c r="R341" s="485"/>
      <c r="S341" s="483"/>
      <c r="T341" s="599" t="str">
        <f t="shared" si="396"/>
        <v/>
      </c>
      <c r="V341" s="599"/>
      <c r="W341" s="471">
        <f t="shared" ref="W341:X341" si="412">W340</f>
        <v>14</v>
      </c>
      <c r="X341" s="471" t="e">
        <f t="shared" si="412"/>
        <v>#REF!</v>
      </c>
      <c r="Y341" s="471" t="e">
        <f t="shared" si="411"/>
        <v>#REF!</v>
      </c>
      <c r="Z341" s="471"/>
      <c r="AA341" s="471"/>
    </row>
    <row r="342" spans="1:27" s="473" customFormat="1" ht="15.75" customHeight="1" x14ac:dyDescent="0.15">
      <c r="C342" s="746" t="str">
        <f>"   공      종 : "&amp;목록!D$19</f>
        <v xml:space="preserve">   공      종 : 섬유판가공취부(벽체)</v>
      </c>
      <c r="D342" s="654"/>
      <c r="E342" s="476"/>
      <c r="G342" s="478"/>
      <c r="H342" s="463" t="str">
        <f t="shared" si="391"/>
        <v xml:space="preserve">   공      종 : 섬유판가공취부(벽체)</v>
      </c>
      <c r="I342" s="479"/>
      <c r="J342" s="488"/>
      <c r="K342" s="481"/>
      <c r="L342" s="482"/>
      <c r="M342" s="482"/>
      <c r="N342" s="482"/>
      <c r="O342" s="487"/>
      <c r="P342" s="483"/>
      <c r="Q342" s="654"/>
      <c r="R342" s="485"/>
      <c r="S342" s="483"/>
      <c r="T342" s="599" t="str">
        <f t="shared" si="396"/>
        <v/>
      </c>
      <c r="V342" s="599"/>
      <c r="W342" s="471">
        <f t="shared" ref="W342:X342" si="413">W341</f>
        <v>14</v>
      </c>
      <c r="X342" s="471" t="e">
        <f t="shared" si="413"/>
        <v>#REF!</v>
      </c>
      <c r="Y342" s="471" t="e">
        <f t="shared" si="411"/>
        <v>#REF!</v>
      </c>
      <c r="Z342" s="471"/>
      <c r="AA342" s="471"/>
    </row>
    <row r="343" spans="1:27" s="473" customFormat="1" ht="15.75" customHeight="1" x14ac:dyDescent="0.15">
      <c r="C343" s="746" t="str">
        <f xml:space="preserve"> "   규      격 : "&amp;목록!F$19</f>
        <v xml:space="preserve">   규      격 : THK=20mm * 1PLY, 집기/하우징류</v>
      </c>
      <c r="D343" s="654"/>
      <c r="E343" s="476"/>
      <c r="G343" s="478"/>
      <c r="H343" s="463" t="str">
        <f t="shared" si="391"/>
        <v xml:space="preserve">   규      격 : THK=20mm * 1PLY, 집기/하우징류</v>
      </c>
      <c r="I343" s="479"/>
      <c r="J343" s="488" t="s">
        <v>348</v>
      </c>
      <c r="K343" s="481"/>
      <c r="L343" s="482" t="s">
        <v>349</v>
      </c>
      <c r="M343" s="482"/>
      <c r="N343" s="482" t="s">
        <v>240</v>
      </c>
      <c r="O343" s="487"/>
      <c r="P343" s="483"/>
      <c r="Q343" s="654" t="s">
        <v>723</v>
      </c>
      <c r="R343" s="654"/>
      <c r="S343" s="483"/>
      <c r="T343" s="599" t="str">
        <f t="shared" si="396"/>
        <v>합계</v>
      </c>
      <c r="V343" s="599"/>
      <c r="W343" s="471">
        <f t="shared" ref="W343:X343" si="414">W342</f>
        <v>14</v>
      </c>
      <c r="X343" s="471" t="e">
        <f t="shared" si="414"/>
        <v>#REF!</v>
      </c>
      <c r="Y343" s="471" t="e">
        <f t="shared" si="411"/>
        <v>#REF!</v>
      </c>
      <c r="Z343" s="471"/>
      <c r="AA343" s="471"/>
    </row>
    <row r="344" spans="1:27" s="473" customFormat="1" ht="15.75" customHeight="1" x14ac:dyDescent="0.15">
      <c r="C344" s="746" t="str">
        <f>"   단      위 : "&amp;목록!G$19</f>
        <v xml:space="preserve">   단      위 : ㎡</v>
      </c>
      <c r="D344" s="654"/>
      <c r="E344" s="476"/>
      <c r="G344" s="478"/>
      <c r="H344" s="463" t="str">
        <f t="shared" si="391"/>
        <v xml:space="preserve">   단      위 : ㎡</v>
      </c>
      <c r="I344" s="479"/>
      <c r="J344" s="489">
        <f>K362</f>
        <v>15938</v>
      </c>
      <c r="K344" s="481"/>
      <c r="L344" s="487">
        <f>M362</f>
        <v>15117</v>
      </c>
      <c r="M344" s="482"/>
      <c r="N344" s="482">
        <f>O362</f>
        <v>0</v>
      </c>
      <c r="O344" s="487"/>
      <c r="P344" s="483"/>
      <c r="Q344" s="488">
        <f>J344+L344+N344</f>
        <v>31055</v>
      </c>
      <c r="R344" s="489"/>
      <c r="S344" s="483"/>
      <c r="T344" s="599" t="str">
        <f t="shared" si="396"/>
        <v>31055</v>
      </c>
      <c r="V344" s="599"/>
      <c r="W344" s="471">
        <f t="shared" ref="W344:X344" si="415">W343</f>
        <v>14</v>
      </c>
      <c r="X344" s="471" t="e">
        <f t="shared" si="415"/>
        <v>#REF!</v>
      </c>
      <c r="Y344" s="471" t="e">
        <f t="shared" si="411"/>
        <v>#REF!</v>
      </c>
      <c r="Z344" s="471"/>
      <c r="AA344" s="471"/>
    </row>
    <row r="345" spans="1:27" s="473" customFormat="1" ht="15.75" customHeight="1" x14ac:dyDescent="0.15">
      <c r="C345" s="746"/>
      <c r="D345" s="654"/>
      <c r="E345" s="476"/>
      <c r="G345" s="490"/>
      <c r="H345" s="463" t="str">
        <f t="shared" si="391"/>
        <v/>
      </c>
      <c r="I345" s="491"/>
      <c r="J345" s="482"/>
      <c r="K345" s="465"/>
      <c r="L345" s="482"/>
      <c r="M345" s="482"/>
      <c r="N345" s="482"/>
      <c r="O345" s="487"/>
      <c r="P345" s="492"/>
      <c r="Q345" s="493"/>
      <c r="R345" s="485"/>
      <c r="S345" s="492"/>
      <c r="T345" s="599" t="str">
        <f t="shared" si="396"/>
        <v/>
      </c>
      <c r="V345" s="599"/>
      <c r="W345" s="471">
        <f t="shared" ref="W345:X345" si="416">W344</f>
        <v>14</v>
      </c>
      <c r="X345" s="471" t="e">
        <f t="shared" si="416"/>
        <v>#REF!</v>
      </c>
      <c r="Y345" s="471" t="e">
        <f t="shared" si="411"/>
        <v>#REF!</v>
      </c>
      <c r="Z345" s="471"/>
      <c r="AA345" s="471"/>
    </row>
    <row r="346" spans="1:27" s="473" customFormat="1" ht="15.75" customHeight="1" x14ac:dyDescent="0.15">
      <c r="A346" s="599"/>
      <c r="B346" s="899" t="s">
        <v>375</v>
      </c>
      <c r="C346" s="900"/>
      <c r="D346" s="915" t="s">
        <v>356</v>
      </c>
      <c r="E346" s="908"/>
      <c r="F346" s="903" t="s">
        <v>588</v>
      </c>
      <c r="G346" s="913" t="s">
        <v>589</v>
      </c>
      <c r="H346" s="463" t="str">
        <f t="shared" si="391"/>
        <v>단위</v>
      </c>
      <c r="I346" s="623"/>
      <c r="J346" s="495" t="s">
        <v>348</v>
      </c>
      <c r="K346" s="496"/>
      <c r="L346" s="495" t="s">
        <v>349</v>
      </c>
      <c r="M346" s="496"/>
      <c r="N346" s="497" t="s">
        <v>240</v>
      </c>
      <c r="O346" s="497"/>
      <c r="P346" s="498"/>
      <c r="Q346" s="791" t="s">
        <v>355</v>
      </c>
      <c r="R346" s="791"/>
      <c r="S346" s="499"/>
      <c r="T346" s="599" t="str">
        <f t="shared" si="396"/>
        <v>비  고</v>
      </c>
      <c r="V346" s="599"/>
      <c r="W346" s="471">
        <f t="shared" ref="W346:X346" si="417">W345</f>
        <v>14</v>
      </c>
      <c r="X346" s="471" t="e">
        <f t="shared" si="417"/>
        <v>#REF!</v>
      </c>
      <c r="Y346" s="471" t="e">
        <f t="shared" si="411"/>
        <v>#REF!</v>
      </c>
      <c r="Z346" s="471"/>
      <c r="AA346" s="471"/>
    </row>
    <row r="347" spans="1:27" s="473" customFormat="1" ht="15.75" customHeight="1" x14ac:dyDescent="0.15">
      <c r="A347" s="599"/>
      <c r="B347" s="901"/>
      <c r="C347" s="902"/>
      <c r="D347" s="916"/>
      <c r="E347" s="910"/>
      <c r="F347" s="904"/>
      <c r="G347" s="914"/>
      <c r="H347" s="463" t="str">
        <f t="shared" si="391"/>
        <v/>
      </c>
      <c r="I347" s="624"/>
      <c r="J347" s="501" t="s">
        <v>353</v>
      </c>
      <c r="K347" s="501" t="s">
        <v>354</v>
      </c>
      <c r="L347" s="501" t="s">
        <v>353</v>
      </c>
      <c r="M347" s="749" t="s">
        <v>354</v>
      </c>
      <c r="N347" s="501" t="s">
        <v>353</v>
      </c>
      <c r="O347" s="501" t="s">
        <v>354</v>
      </c>
      <c r="P347" s="503"/>
      <c r="Q347" s="792"/>
      <c r="R347" s="792"/>
      <c r="S347" s="504"/>
      <c r="T347" s="599" t="str">
        <f t="shared" si="396"/>
        <v/>
      </c>
      <c r="V347" s="599"/>
      <c r="W347" s="471">
        <f t="shared" ref="W347:X347" si="418">W346</f>
        <v>14</v>
      </c>
      <c r="X347" s="471" t="e">
        <f t="shared" si="418"/>
        <v>#REF!</v>
      </c>
      <c r="Y347" s="471" t="e">
        <f t="shared" si="411"/>
        <v>#REF!</v>
      </c>
      <c r="Z347" s="471"/>
      <c r="AA347" s="471"/>
    </row>
    <row r="348" spans="1:27" s="473" customFormat="1" ht="15.75" customHeight="1" x14ac:dyDescent="0.15">
      <c r="A348" s="599"/>
      <c r="B348" s="670"/>
      <c r="C348" s="140" t="s">
        <v>441</v>
      </c>
      <c r="D348" s="670"/>
      <c r="E348" s="602" t="s">
        <v>1297</v>
      </c>
      <c r="F348" s="207" t="s">
        <v>350</v>
      </c>
      <c r="G348" s="505">
        <f>TRUNC(1.15,4)</f>
        <v>1.1499999999999999</v>
      </c>
      <c r="H348" s="463" t="str">
        <f t="shared" si="391"/>
        <v>M.D.FTHK=20mm, EO㎡</v>
      </c>
      <c r="I348" s="671" t="str">
        <f>CONCATENATE(C348,E348,F348)</f>
        <v>M.D.FTHK=20mm, EO㎡</v>
      </c>
      <c r="J348" s="506">
        <f>IF(OR($F348="인",$F348=""),"",VLOOKUP($H348,단가!$A:$S,19,FALSE))</f>
        <v>10659</v>
      </c>
      <c r="K348" s="507">
        <f t="shared" ref="K348:K354" si="419">IF(J348="","",TRUNC($G348*J348,0))</f>
        <v>12257</v>
      </c>
      <c r="L348" s="506" t="str">
        <f>IF($F348="인",VLOOKUP($C:$C,노임!$C:$G,4,FALSE),"")</f>
        <v/>
      </c>
      <c r="M348" s="507" t="str">
        <f>IF(L348="","",TRUNC($G348*L348,0))</f>
        <v/>
      </c>
      <c r="N348" s="507"/>
      <c r="O348" s="507" t="str">
        <f>IF(N348="","",TRUNC($G348*N348,0))</f>
        <v/>
      </c>
      <c r="P348" s="508"/>
      <c r="Q348" s="509" t="str">
        <f>IF(F348="인","노임"&amp;VLOOKUP($C:$C,노임!C:G,5,FALSE)&amp;"번","단가"&amp;VLOOKUP($H:$H,단가!$A:$B,2,FALSE)&amp;"번")</f>
        <v>단가51번</v>
      </c>
      <c r="R348" s="510"/>
      <c r="S348" s="131"/>
      <c r="T348" s="599" t="str">
        <f t="shared" si="396"/>
        <v>단가51번</v>
      </c>
      <c r="V348" s="599"/>
      <c r="W348" s="471">
        <f t="shared" ref="W348:X348" si="420">W347</f>
        <v>14</v>
      </c>
      <c r="X348" s="471" t="e">
        <f t="shared" si="420"/>
        <v>#REF!</v>
      </c>
      <c r="Y348" s="471" t="e">
        <f t="shared" si="411"/>
        <v>#REF!</v>
      </c>
      <c r="Z348" s="471"/>
      <c r="AA348" s="471"/>
    </row>
    <row r="349" spans="1:27" s="473" customFormat="1" ht="15.75" customHeight="1" x14ac:dyDescent="0.15">
      <c r="A349" s="599"/>
      <c r="B349" s="670"/>
      <c r="C349" s="140" t="s">
        <v>824</v>
      </c>
      <c r="D349" s="670"/>
      <c r="E349" s="643" t="s">
        <v>825</v>
      </c>
      <c r="F349" s="207" t="s">
        <v>739</v>
      </c>
      <c r="G349" s="505">
        <f>TRUNC(0.27,4)</f>
        <v>0.27</v>
      </c>
      <c r="H349" s="463" t="str">
        <f t="shared" si="391"/>
        <v>접착제합판용Kg</v>
      </c>
      <c r="I349" s="671" t="str">
        <f>CONCATENATE(C349,E349,F349)</f>
        <v>접착제합판용Kg</v>
      </c>
      <c r="J349" s="506">
        <f>IF(OR($F349="인",$F349=""),"",VLOOKUP($H349,단가!$A:$S,19,FALSE))</f>
        <v>10500</v>
      </c>
      <c r="K349" s="507">
        <f t="shared" si="419"/>
        <v>2835</v>
      </c>
      <c r="L349" s="506" t="str">
        <f>IF($F349="인",VLOOKUP($C:$C,노임!$C:$G,4,FALSE),"")</f>
        <v/>
      </c>
      <c r="M349" s="507" t="str">
        <f>IF(L349="","",TRUNC($G349*L349,0))</f>
        <v/>
      </c>
      <c r="N349" s="507"/>
      <c r="O349" s="507" t="str">
        <f>IF(N349="","",TRUNC($G349*N349,0))</f>
        <v/>
      </c>
      <c r="P349" s="508"/>
      <c r="Q349" s="512" t="str">
        <f>IF(F349="인","노임"&amp;VLOOKUP($C:$C,노임!C:G,5,FALSE)&amp;"번","단가"&amp;VLOOKUP($H:$H,단가!$A:$B,2,FALSE)&amp;"번")</f>
        <v>단가69번</v>
      </c>
      <c r="R349" s="513"/>
      <c r="S349" s="131"/>
      <c r="T349" s="599" t="str">
        <f t="shared" si="396"/>
        <v>단가69번</v>
      </c>
      <c r="V349" s="549"/>
      <c r="W349" s="471">
        <f t="shared" ref="W349:X349" si="421">W348</f>
        <v>14</v>
      </c>
      <c r="X349" s="471" t="e">
        <f t="shared" si="421"/>
        <v>#REF!</v>
      </c>
      <c r="Y349" s="471" t="e">
        <f t="shared" si="411"/>
        <v>#REF!</v>
      </c>
      <c r="Z349" s="471"/>
      <c r="AA349" s="471"/>
    </row>
    <row r="350" spans="1:27" s="473" customFormat="1" ht="15.75" customHeight="1" x14ac:dyDescent="0.15">
      <c r="A350" s="599"/>
      <c r="B350" s="670"/>
      <c r="C350" s="140" t="s">
        <v>572</v>
      </c>
      <c r="D350" s="670"/>
      <c r="E350" s="602" t="s">
        <v>573</v>
      </c>
      <c r="F350" s="207" t="s">
        <v>539</v>
      </c>
      <c r="G350" s="505">
        <v>1</v>
      </c>
      <c r="H350" s="463" t="str">
        <f t="shared" ref="H350:H365" si="422">CONCATENATE(C350,E350,F350)</f>
        <v>잡재료 및 소모재료주재료비의 5%식</v>
      </c>
      <c r="I350" s="671" t="str">
        <f>CONCATENATE(C350,E350,F350)</f>
        <v>잡재료 및 소모재료주재료비의 5%식</v>
      </c>
      <c r="J350" s="506">
        <f>TRUNC((K348)*5%,0)</f>
        <v>612</v>
      </c>
      <c r="K350" s="507">
        <f t="shared" si="419"/>
        <v>612</v>
      </c>
      <c r="L350" s="506" t="str">
        <f>IF($F350="인",VLOOKUP($C:$C,노임!$C:$G,4,FALSE),"")</f>
        <v/>
      </c>
      <c r="M350" s="507" t="str">
        <f>IF(L350="","",TRUNC($G350*L350,0))</f>
        <v/>
      </c>
      <c r="N350" s="507"/>
      <c r="O350" s="507" t="str">
        <f>IF(N350="","",TRUNC($G350*N350,0))</f>
        <v/>
      </c>
      <c r="P350" s="508"/>
      <c r="Q350" s="509"/>
      <c r="R350" s="510"/>
      <c r="S350" s="131"/>
      <c r="T350" s="599" t="str">
        <f t="shared" si="396"/>
        <v/>
      </c>
      <c r="V350" s="599"/>
      <c r="W350" s="471">
        <f t="shared" ref="W350:X350" si="423">W349</f>
        <v>14</v>
      </c>
      <c r="X350" s="471" t="e">
        <f t="shared" si="423"/>
        <v>#REF!</v>
      </c>
      <c r="Y350" s="471" t="e">
        <f t="shared" si="411"/>
        <v>#REF!</v>
      </c>
      <c r="Z350" s="471"/>
      <c r="AA350" s="471"/>
    </row>
    <row r="351" spans="1:27" s="599" customFormat="1" ht="15.75" customHeight="1" x14ac:dyDescent="0.15">
      <c r="B351" s="670"/>
      <c r="C351" s="140" t="s">
        <v>749</v>
      </c>
      <c r="D351" s="670"/>
      <c r="E351" s="643"/>
      <c r="F351" s="207" t="s">
        <v>750</v>
      </c>
      <c r="G351" s="505">
        <f>TRUNC(0.065,4)</f>
        <v>6.5000000000000002E-2</v>
      </c>
      <c r="H351" s="463" t="str">
        <f t="shared" si="422"/>
        <v>건축목공인</v>
      </c>
      <c r="I351" s="671" t="str">
        <f>CONCATENATE(C351,E351,F351)</f>
        <v>건축목공인</v>
      </c>
      <c r="J351" s="506" t="str">
        <f>IF(OR($F351="인",$F351=""),"",VLOOKUP($H351,단가!$A:$S,19,FALSE))</f>
        <v/>
      </c>
      <c r="K351" s="507" t="str">
        <f t="shared" si="419"/>
        <v/>
      </c>
      <c r="L351" s="506">
        <f>IF($F351="인",VLOOKUP($C:$C,노임!$C:$G,4,FALSE),"")</f>
        <v>169062</v>
      </c>
      <c r="M351" s="507">
        <f>IF(L351="","",TRUNC($G351*L351,0))</f>
        <v>10989</v>
      </c>
      <c r="N351" s="507"/>
      <c r="O351" s="507" t="str">
        <f>IF(N351="","",TRUNC($G351*N351,0))</f>
        <v/>
      </c>
      <c r="P351" s="508"/>
      <c r="Q351" s="509" t="str">
        <f>IF(F351="인","노임"&amp;VLOOKUP($C:$C,노임!C:G,5,FALSE)&amp;"번","단가"&amp;VLOOKUP($H:$H,단가!$A:$B,2,FALSE)&amp;"번")</f>
        <v>노임1023번</v>
      </c>
      <c r="R351" s="510"/>
      <c r="S351" s="131"/>
      <c r="T351" s="599" t="str">
        <f t="shared" si="396"/>
        <v>노임1023번</v>
      </c>
      <c r="W351" s="471">
        <f t="shared" ref="W351:X351" si="424">W350</f>
        <v>14</v>
      </c>
      <c r="X351" s="471" t="e">
        <f t="shared" si="424"/>
        <v>#REF!</v>
      </c>
      <c r="Y351" s="471" t="e">
        <f t="shared" si="411"/>
        <v>#REF!</v>
      </c>
      <c r="Z351" s="471"/>
      <c r="AA351" s="471"/>
    </row>
    <row r="352" spans="1:27" s="599" customFormat="1" ht="15.75" customHeight="1" x14ac:dyDescent="0.15">
      <c r="B352" s="670"/>
      <c r="C352" s="140" t="s">
        <v>724</v>
      </c>
      <c r="D352" s="670"/>
      <c r="E352" s="643"/>
      <c r="F352" s="207" t="s">
        <v>750</v>
      </c>
      <c r="G352" s="505">
        <f>TRUNC(0.007,4)</f>
        <v>7.0000000000000001E-3</v>
      </c>
      <c r="H352" s="463" t="str">
        <f t="shared" si="422"/>
        <v>보통인부인</v>
      </c>
      <c r="I352" s="671"/>
      <c r="J352" s="506" t="str">
        <f>IF(OR($F352="인",$F352=""),"",VLOOKUP($H352,단가!$A:$S,19,FALSE))</f>
        <v/>
      </c>
      <c r="K352" s="507" t="str">
        <f t="shared" si="419"/>
        <v/>
      </c>
      <c r="L352" s="506">
        <f>IF($F352="인",VLOOKUP($C:$C,노임!$C:$G,4,FALSE),"")</f>
        <v>106846</v>
      </c>
      <c r="M352" s="507">
        <f>IF(L352="","",TRUNC($G352*L352,0))</f>
        <v>747</v>
      </c>
      <c r="N352" s="507"/>
      <c r="O352" s="507" t="str">
        <f>IF(N352="","",TRUNC($G352*N352,0))</f>
        <v/>
      </c>
      <c r="P352" s="508"/>
      <c r="Q352" s="509" t="str">
        <f>IF(F352="인","노임"&amp;VLOOKUP($C:$C,노임!C:G,5,FALSE)&amp;"번","단가"&amp;VLOOKUP($H:$H,단가!$A:$B,2,FALSE)&amp;"번")</f>
        <v>노임1002번</v>
      </c>
      <c r="R352" s="534"/>
      <c r="S352" s="131"/>
      <c r="T352" s="599" t="str">
        <f t="shared" si="396"/>
        <v>노임1002번</v>
      </c>
      <c r="W352" s="471">
        <f t="shared" ref="W352:X352" si="425">W351</f>
        <v>14</v>
      </c>
      <c r="X352" s="471" t="e">
        <f t="shared" si="425"/>
        <v>#REF!</v>
      </c>
      <c r="Y352" s="471" t="e">
        <f t="shared" si="411"/>
        <v>#REF!</v>
      </c>
      <c r="Z352" s="471"/>
      <c r="AA352" s="471"/>
    </row>
    <row r="353" spans="1:27" s="599" customFormat="1" ht="15.75" customHeight="1" x14ac:dyDescent="0.15">
      <c r="B353" s="670"/>
      <c r="C353" s="140" t="s">
        <v>766</v>
      </c>
      <c r="D353" s="670"/>
      <c r="E353" s="643" t="s">
        <v>518</v>
      </c>
      <c r="F353" s="207" t="s">
        <v>539</v>
      </c>
      <c r="G353" s="505">
        <v>1</v>
      </c>
      <c r="H353" s="463" t="str">
        <f t="shared" si="422"/>
        <v>공구손료인력품의 2%식</v>
      </c>
      <c r="I353" s="671"/>
      <c r="J353" s="506">
        <f>TRUNC((M351+M352)*2%,0)</f>
        <v>234</v>
      </c>
      <c r="K353" s="507">
        <f t="shared" si="419"/>
        <v>234</v>
      </c>
      <c r="L353" s="506"/>
      <c r="M353" s="507"/>
      <c r="N353" s="507"/>
      <c r="O353" s="507"/>
      <c r="P353" s="508"/>
      <c r="Q353" s="512"/>
      <c r="R353" s="534"/>
      <c r="S353" s="131"/>
      <c r="T353" s="599" t="str">
        <f t="shared" si="396"/>
        <v/>
      </c>
      <c r="W353" s="471">
        <f t="shared" ref="W353:X353" si="426">W352</f>
        <v>14</v>
      </c>
      <c r="X353" s="471" t="e">
        <f t="shared" si="426"/>
        <v>#REF!</v>
      </c>
      <c r="Y353" s="471" t="e">
        <f t="shared" si="411"/>
        <v>#REF!</v>
      </c>
      <c r="Z353" s="471"/>
      <c r="AA353" s="471"/>
    </row>
    <row r="354" spans="1:27" s="599" customFormat="1" ht="15.75" customHeight="1" x14ac:dyDescent="0.15">
      <c r="B354" s="670"/>
      <c r="C354" s="140" t="s">
        <v>749</v>
      </c>
      <c r="D354" s="670"/>
      <c r="E354" s="643" t="s">
        <v>1298</v>
      </c>
      <c r="F354" s="207" t="s">
        <v>750</v>
      </c>
      <c r="G354" s="505">
        <v>0.02</v>
      </c>
      <c r="H354" s="463" t="str">
        <f t="shared" si="422"/>
        <v>건축목공집기 파츠별 도안가공인</v>
      </c>
      <c r="I354" s="671" t="str">
        <f>CONCATENATE(C354,E354,F354)</f>
        <v>건축목공집기 파츠별 도안가공인</v>
      </c>
      <c r="J354" s="506" t="str">
        <f>IF(OR($F354="인",$F354=""),"",VLOOKUP($H354,단가!$A:$S,19,FALSE))</f>
        <v/>
      </c>
      <c r="K354" s="507" t="str">
        <f t="shared" si="419"/>
        <v/>
      </c>
      <c r="L354" s="506">
        <f>IF($F354="인",VLOOKUP($C:$C,노임!$C:$G,4,FALSE),"")</f>
        <v>169062</v>
      </c>
      <c r="M354" s="507">
        <f>IF(L354="","",TRUNC($G354*L354,0))</f>
        <v>3381</v>
      </c>
      <c r="N354" s="507"/>
      <c r="O354" s="507" t="str">
        <f>IF(N354="","",TRUNC($G354*N354,0))</f>
        <v/>
      </c>
      <c r="P354" s="508"/>
      <c r="Q354" s="509" t="str">
        <f>IF(F354="인","노임"&amp;VLOOKUP($C:$C,노임!C:G,5,FALSE)&amp;"번","단가"&amp;VLOOKUP($H:$H,단가!$A:$B,2,FALSE)&amp;"번")</f>
        <v>노임1023번</v>
      </c>
      <c r="R354" s="510"/>
      <c r="S354" s="131"/>
      <c r="T354" s="599" t="str">
        <f t="shared" ref="T354:T365" si="427">CONCATENATE(Q354,R354)</f>
        <v>노임1023번</v>
      </c>
      <c r="W354" s="471">
        <f t="shared" ref="W354:X354" si="428">W353</f>
        <v>14</v>
      </c>
      <c r="X354" s="471" t="e">
        <f t="shared" si="428"/>
        <v>#REF!</v>
      </c>
      <c r="Y354" s="471" t="e">
        <f t="shared" si="411"/>
        <v>#REF!</v>
      </c>
      <c r="Z354" s="471"/>
      <c r="AA354" s="471"/>
    </row>
    <row r="355" spans="1:27" s="599" customFormat="1" ht="15.75" customHeight="1" x14ac:dyDescent="0.15">
      <c r="B355" s="670"/>
      <c r="C355" s="140"/>
      <c r="D355" s="670"/>
      <c r="E355" s="643"/>
      <c r="F355" s="207"/>
      <c r="G355" s="505"/>
      <c r="H355" s="463" t="str">
        <f t="shared" si="422"/>
        <v/>
      </c>
      <c r="I355" s="671"/>
      <c r="J355" s="506"/>
      <c r="K355" s="507"/>
      <c r="L355" s="506"/>
      <c r="M355" s="507"/>
      <c r="N355" s="507"/>
      <c r="O355" s="507"/>
      <c r="P355" s="508"/>
      <c r="Q355" s="512"/>
      <c r="R355" s="513"/>
      <c r="S355" s="131"/>
      <c r="T355" s="599" t="str">
        <f t="shared" si="427"/>
        <v/>
      </c>
      <c r="W355" s="471">
        <f t="shared" ref="W355:X355" si="429">W354</f>
        <v>14</v>
      </c>
      <c r="X355" s="471" t="e">
        <f t="shared" si="429"/>
        <v>#REF!</v>
      </c>
      <c r="Y355" s="471" t="e">
        <f t="shared" si="411"/>
        <v>#REF!</v>
      </c>
      <c r="Z355" s="471"/>
      <c r="AA355" s="471"/>
    </row>
    <row r="356" spans="1:27" s="599" customFormat="1" ht="15.75" customHeight="1" x14ac:dyDescent="0.15">
      <c r="B356" s="670"/>
      <c r="C356" s="140"/>
      <c r="D356" s="670"/>
      <c r="E356" s="643"/>
      <c r="F356" s="207"/>
      <c r="G356" s="505"/>
      <c r="H356" s="463" t="str">
        <f t="shared" si="422"/>
        <v/>
      </c>
      <c r="I356" s="671"/>
      <c r="J356" s="506"/>
      <c r="K356" s="507"/>
      <c r="L356" s="506"/>
      <c r="M356" s="507"/>
      <c r="N356" s="507"/>
      <c r="O356" s="507"/>
      <c r="P356" s="508"/>
      <c r="Q356" s="512"/>
      <c r="R356" s="534"/>
      <c r="S356" s="131"/>
      <c r="T356" s="599" t="str">
        <f t="shared" si="427"/>
        <v/>
      </c>
      <c r="W356" s="471">
        <f t="shared" ref="W356:X356" si="430">W355</f>
        <v>14</v>
      </c>
      <c r="X356" s="471" t="e">
        <f t="shared" si="430"/>
        <v>#REF!</v>
      </c>
      <c r="Y356" s="471" t="e">
        <f t="shared" si="411"/>
        <v>#REF!</v>
      </c>
      <c r="Z356" s="471"/>
      <c r="AA356" s="471"/>
    </row>
    <row r="357" spans="1:27" s="599" customFormat="1" ht="15.75" customHeight="1" x14ac:dyDescent="0.15">
      <c r="B357" s="670"/>
      <c r="C357" s="140"/>
      <c r="D357" s="670"/>
      <c r="E357" s="643"/>
      <c r="F357" s="207"/>
      <c r="G357" s="505"/>
      <c r="H357" s="463" t="str">
        <f t="shared" si="422"/>
        <v/>
      </c>
      <c r="I357" s="671"/>
      <c r="J357" s="506"/>
      <c r="K357" s="507"/>
      <c r="L357" s="506"/>
      <c r="M357" s="507"/>
      <c r="N357" s="507"/>
      <c r="O357" s="507"/>
      <c r="P357" s="508"/>
      <c r="Q357" s="512"/>
      <c r="R357" s="534"/>
      <c r="S357" s="131"/>
      <c r="T357" s="599" t="str">
        <f t="shared" si="427"/>
        <v/>
      </c>
      <c r="W357" s="471">
        <f t="shared" ref="W357:X357" si="431">W356</f>
        <v>14</v>
      </c>
      <c r="X357" s="471" t="e">
        <f t="shared" si="431"/>
        <v>#REF!</v>
      </c>
      <c r="Y357" s="471" t="e">
        <f t="shared" si="411"/>
        <v>#REF!</v>
      </c>
      <c r="Z357" s="471"/>
      <c r="AA357" s="471"/>
    </row>
    <row r="358" spans="1:27" s="599" customFormat="1" ht="15.75" customHeight="1" x14ac:dyDescent="0.15">
      <c r="B358" s="670"/>
      <c r="C358" s="140"/>
      <c r="D358" s="670"/>
      <c r="E358" s="643"/>
      <c r="F358" s="207"/>
      <c r="G358" s="505"/>
      <c r="H358" s="463" t="str">
        <f t="shared" si="422"/>
        <v/>
      </c>
      <c r="I358" s="671"/>
      <c r="J358" s="506"/>
      <c r="K358" s="507"/>
      <c r="L358" s="506"/>
      <c r="M358" s="507"/>
      <c r="N358" s="507"/>
      <c r="O358" s="507"/>
      <c r="P358" s="508"/>
      <c r="Q358" s="512"/>
      <c r="R358" s="534"/>
      <c r="S358" s="131"/>
      <c r="T358" s="599" t="str">
        <f t="shared" si="427"/>
        <v/>
      </c>
      <c r="W358" s="471">
        <f t="shared" ref="W358:X358" si="432">W357</f>
        <v>14</v>
      </c>
      <c r="X358" s="471" t="e">
        <f t="shared" si="432"/>
        <v>#REF!</v>
      </c>
      <c r="Y358" s="471" t="e">
        <f t="shared" si="411"/>
        <v>#REF!</v>
      </c>
      <c r="Z358" s="471"/>
      <c r="AA358" s="471"/>
    </row>
    <row r="359" spans="1:27" s="599" customFormat="1" ht="15.75" customHeight="1" x14ac:dyDescent="0.15">
      <c r="B359" s="670"/>
      <c r="C359" s="140"/>
      <c r="D359" s="670"/>
      <c r="E359" s="643"/>
      <c r="F359" s="207"/>
      <c r="G359" s="505"/>
      <c r="H359" s="463" t="str">
        <f t="shared" si="422"/>
        <v/>
      </c>
      <c r="I359" s="671"/>
      <c r="J359" s="506"/>
      <c r="K359" s="507"/>
      <c r="L359" s="506"/>
      <c r="M359" s="507"/>
      <c r="N359" s="507"/>
      <c r="O359" s="507"/>
      <c r="P359" s="508"/>
      <c r="Q359" s="512"/>
      <c r="R359" s="534"/>
      <c r="S359" s="131"/>
      <c r="T359" s="599" t="str">
        <f t="shared" si="427"/>
        <v/>
      </c>
      <c r="W359" s="471">
        <f t="shared" ref="W359:X359" si="433">W358</f>
        <v>14</v>
      </c>
      <c r="X359" s="471" t="e">
        <f t="shared" si="433"/>
        <v>#REF!</v>
      </c>
      <c r="Y359" s="471" t="e">
        <f t="shared" si="411"/>
        <v>#REF!</v>
      </c>
      <c r="Z359" s="471"/>
      <c r="AA359" s="471"/>
    </row>
    <row r="360" spans="1:27" s="599" customFormat="1" ht="15.75" customHeight="1" x14ac:dyDescent="0.15">
      <c r="B360" s="670"/>
      <c r="C360" s="140"/>
      <c r="D360" s="670"/>
      <c r="E360" s="643"/>
      <c r="F360" s="207"/>
      <c r="G360" s="505"/>
      <c r="H360" s="463" t="str">
        <f t="shared" si="422"/>
        <v/>
      </c>
      <c r="I360" s="671"/>
      <c r="J360" s="506"/>
      <c r="K360" s="507"/>
      <c r="L360" s="506"/>
      <c r="M360" s="507"/>
      <c r="N360" s="507"/>
      <c r="O360" s="507"/>
      <c r="P360" s="508"/>
      <c r="Q360" s="512"/>
      <c r="R360" s="513"/>
      <c r="S360" s="131"/>
      <c r="T360" s="599" t="str">
        <f t="shared" si="427"/>
        <v/>
      </c>
      <c r="W360" s="471">
        <f t="shared" ref="W360:X360" si="434">W359</f>
        <v>14</v>
      </c>
      <c r="X360" s="471" t="e">
        <f t="shared" si="434"/>
        <v>#REF!</v>
      </c>
      <c r="Y360" s="471" t="e">
        <f t="shared" si="411"/>
        <v>#REF!</v>
      </c>
      <c r="Z360" s="471"/>
      <c r="AA360" s="471"/>
    </row>
    <row r="361" spans="1:27" s="599" customFormat="1" ht="15.75" customHeight="1" x14ac:dyDescent="0.15">
      <c r="B361" s="670"/>
      <c r="C361" s="140"/>
      <c r="D361" s="670"/>
      <c r="E361" s="643"/>
      <c r="F361" s="207"/>
      <c r="G361" s="505"/>
      <c r="H361" s="463" t="str">
        <f t="shared" si="422"/>
        <v/>
      </c>
      <c r="I361" s="671"/>
      <c r="J361" s="506"/>
      <c r="K361" s="507"/>
      <c r="L361" s="506"/>
      <c r="M361" s="507"/>
      <c r="N361" s="507"/>
      <c r="O361" s="507"/>
      <c r="P361" s="508"/>
      <c r="Q361" s="512"/>
      <c r="R361" s="513"/>
      <c r="S361" s="131"/>
      <c r="T361" s="599" t="str">
        <f t="shared" si="427"/>
        <v/>
      </c>
      <c r="W361" s="471">
        <f t="shared" ref="W361:X361" si="435">W360</f>
        <v>14</v>
      </c>
      <c r="X361" s="471" t="e">
        <f t="shared" si="435"/>
        <v>#REF!</v>
      </c>
      <c r="Y361" s="471" t="e">
        <f t="shared" si="411"/>
        <v>#REF!</v>
      </c>
      <c r="Z361" s="471"/>
      <c r="AA361" s="471"/>
    </row>
    <row r="362" spans="1:27" s="599" customFormat="1" ht="15.75" customHeight="1" x14ac:dyDescent="0.15">
      <c r="A362" s="473"/>
      <c r="B362" s="514" t="s">
        <v>346</v>
      </c>
      <c r="C362" s="515"/>
      <c r="D362" s="516"/>
      <c r="E362" s="517"/>
      <c r="F362" s="518"/>
      <c r="G362" s="519"/>
      <c r="H362" s="463" t="str">
        <f t="shared" si="422"/>
        <v/>
      </c>
      <c r="I362" s="520">
        <f>목록!$B$19</f>
        <v>14</v>
      </c>
      <c r="J362" s="521"/>
      <c r="K362" s="522">
        <f>SUM(K348:K361)</f>
        <v>15938</v>
      </c>
      <c r="L362" s="521"/>
      <c r="M362" s="522">
        <f>SUM(M348:M361)</f>
        <v>15117</v>
      </c>
      <c r="N362" s="521"/>
      <c r="O362" s="522">
        <f>SUM(O348:O361)</f>
        <v>0</v>
      </c>
      <c r="P362" s="523"/>
      <c r="Q362" s="512"/>
      <c r="R362" s="513"/>
      <c r="S362" s="524"/>
      <c r="T362" s="599" t="str">
        <f t="shared" si="427"/>
        <v/>
      </c>
      <c r="W362" s="471">
        <f t="shared" ref="W362:X362" si="436">W361</f>
        <v>14</v>
      </c>
      <c r="X362" s="471" t="e">
        <f t="shared" si="436"/>
        <v>#REF!</v>
      </c>
      <c r="Y362" s="471" t="e">
        <f t="shared" si="411"/>
        <v>#REF!</v>
      </c>
      <c r="Z362" s="471"/>
      <c r="AA362" s="471"/>
    </row>
    <row r="363" spans="1:27" s="599" customFormat="1" ht="15.75" customHeight="1" x14ac:dyDescent="0.15">
      <c r="B363" s="453"/>
      <c r="C363" s="630" t="s">
        <v>1013</v>
      </c>
      <c r="D363" s="670"/>
      <c r="E363" s="643"/>
      <c r="F363" s="207"/>
      <c r="G363" s="505"/>
      <c r="H363" s="463" t="str">
        <f t="shared" si="422"/>
        <v>※ 건축표준품셈 : 11-1-3 건축물 내부목공사 4. 수장합판</v>
      </c>
      <c r="I363" s="671"/>
      <c r="J363" s="506"/>
      <c r="K363" s="507"/>
      <c r="L363" s="506"/>
      <c r="M363" s="507"/>
      <c r="N363" s="507"/>
      <c r="O363" s="507"/>
      <c r="P363" s="508"/>
      <c r="Q363" s="512"/>
      <c r="R363" s="513"/>
      <c r="S363" s="131"/>
      <c r="T363" s="599" t="str">
        <f t="shared" si="427"/>
        <v/>
      </c>
      <c r="W363" s="615">
        <f t="shared" ref="W363:X363" si="437">W362</f>
        <v>14</v>
      </c>
      <c r="X363" s="471" t="e">
        <f t="shared" si="437"/>
        <v>#REF!</v>
      </c>
      <c r="Y363" s="471" t="e">
        <f t="shared" si="411"/>
        <v>#REF!</v>
      </c>
      <c r="Z363" s="471"/>
      <c r="AA363" s="471"/>
    </row>
    <row r="364" spans="1:27" s="473" customFormat="1" ht="15.75" customHeight="1" x14ac:dyDescent="0.15">
      <c r="A364" s="599"/>
      <c r="B364" s="453"/>
      <c r="C364" s="630" t="s">
        <v>960</v>
      </c>
      <c r="D364" s="670"/>
      <c r="E364" s="643"/>
      <c r="F364" s="207"/>
      <c r="G364" s="505"/>
      <c r="H364" s="463" t="str">
        <f t="shared" si="422"/>
        <v>※ 알판가공 또는 집기류 제작을위한 도안가공품비를 계상하고 자재의 할증을 10% 추가계상함</v>
      </c>
      <c r="I364" s="671"/>
      <c r="J364" s="506"/>
      <c r="K364" s="507"/>
      <c r="L364" s="506"/>
      <c r="M364" s="507"/>
      <c r="N364" s="507"/>
      <c r="O364" s="507"/>
      <c r="P364" s="508"/>
      <c r="Q364" s="512"/>
      <c r="R364" s="513"/>
      <c r="S364" s="131"/>
      <c r="T364" s="599" t="str">
        <f t="shared" si="427"/>
        <v/>
      </c>
      <c r="V364" s="599"/>
      <c r="W364" s="471">
        <f t="shared" ref="W364:X364" si="438">W363</f>
        <v>14</v>
      </c>
      <c r="X364" s="471" t="e">
        <f t="shared" si="438"/>
        <v>#REF!</v>
      </c>
      <c r="Y364" s="471" t="e">
        <f t="shared" si="411"/>
        <v>#REF!</v>
      </c>
      <c r="Z364" s="471"/>
      <c r="AA364" s="471"/>
    </row>
    <row r="365" spans="1:27" s="599" customFormat="1" ht="15.75" customHeight="1" x14ac:dyDescent="0.15">
      <c r="A365" s="473"/>
      <c r="B365" s="789"/>
      <c r="C365" s="543"/>
      <c r="D365" s="516"/>
      <c r="E365" s="517"/>
      <c r="F365" s="518"/>
      <c r="G365" s="519"/>
      <c r="H365" s="463" t="str">
        <f t="shared" si="422"/>
        <v/>
      </c>
      <c r="I365" s="520"/>
      <c r="J365" s="521"/>
      <c r="K365" s="522"/>
      <c r="L365" s="521"/>
      <c r="M365" s="522"/>
      <c r="N365" s="521"/>
      <c r="O365" s="522"/>
      <c r="P365" s="523"/>
      <c r="Q365" s="512"/>
      <c r="R365" s="513"/>
      <c r="S365" s="524"/>
      <c r="T365" s="599" t="str">
        <f t="shared" si="427"/>
        <v/>
      </c>
      <c r="W365" s="471">
        <f t="shared" ref="W365:X365" si="439">W364</f>
        <v>14</v>
      </c>
      <c r="X365" s="471" t="e">
        <f t="shared" si="439"/>
        <v>#REF!</v>
      </c>
      <c r="Y365" s="471" t="e">
        <f t="shared" si="411"/>
        <v>#REF!</v>
      </c>
      <c r="Z365" s="471"/>
      <c r="AA365" s="471"/>
    </row>
    <row r="366" spans="1:27" s="470" customFormat="1" ht="15.75" customHeight="1" x14ac:dyDescent="0.15">
      <c r="A366" s="457"/>
      <c r="B366" s="457"/>
      <c r="C366" s="458"/>
      <c r="D366" s="459"/>
      <c r="E366" s="460"/>
      <c r="F366" s="461"/>
      <c r="G366" s="462"/>
      <c r="H366" s="463" t="str">
        <f t="shared" ref="H366:H376" si="440">CONCATENATE(C366,E366,F366)</f>
        <v/>
      </c>
      <c r="I366" s="464"/>
      <c r="J366" s="465"/>
      <c r="K366" s="465"/>
      <c r="L366" s="465"/>
      <c r="M366" s="465"/>
      <c r="N366" s="465"/>
      <c r="O366" s="466"/>
      <c r="P366" s="467"/>
      <c r="Q366" s="468"/>
      <c r="R366" s="469"/>
      <c r="S366" s="467"/>
      <c r="T366" s="470" t="str">
        <f t="shared" ref="T366:T391" si="441">CONCATENATE(Q366,R366)</f>
        <v/>
      </c>
      <c r="W366" s="533" t="str">
        <f t="shared" ref="W366" si="442">I388</f>
        <v>도장공인</v>
      </c>
      <c r="X366" s="533" t="e">
        <f>#REF!+1</f>
        <v>#REF!</v>
      </c>
      <c r="Y366" s="533" t="e">
        <f t="shared" ref="Y366:Y398" si="443">X366-W366</f>
        <v>#REF!</v>
      </c>
      <c r="Z366" s="533"/>
      <c r="AA366" s="533"/>
    </row>
    <row r="367" spans="1:27" s="457" customFormat="1" ht="15.75" customHeight="1" x14ac:dyDescent="0.15">
      <c r="B367" s="473"/>
      <c r="C367" s="474" t="str">
        <f>"   항목번호 : "&amp;목록!L$20</f>
        <v xml:space="preserve">   항목번호 : 제15호표</v>
      </c>
      <c r="D367" s="475" t="e">
        <f>목록!#REF!</f>
        <v>#REF!</v>
      </c>
      <c r="E367" s="476"/>
      <c r="F367" s="477"/>
      <c r="G367" s="478"/>
      <c r="H367" s="463" t="str">
        <f t="shared" si="440"/>
        <v xml:space="preserve">   항목번호 : 제15호표</v>
      </c>
      <c r="I367" s="479"/>
      <c r="J367" s="480"/>
      <c r="K367" s="481"/>
      <c r="L367" s="482"/>
      <c r="M367" s="482"/>
      <c r="N367" s="482"/>
      <c r="O367" s="466"/>
      <c r="P367" s="483"/>
      <c r="Q367" s="484"/>
      <c r="R367" s="485"/>
      <c r="S367" s="483"/>
      <c r="T367" s="470" t="str">
        <f t="shared" si="441"/>
        <v/>
      </c>
      <c r="V367" s="547"/>
      <c r="W367" s="471" t="str">
        <f t="shared" ref="W367:X367" si="444">W366</f>
        <v>도장공인</v>
      </c>
      <c r="X367" s="471" t="e">
        <f t="shared" si="444"/>
        <v>#REF!</v>
      </c>
      <c r="Y367" s="471" t="e">
        <f t="shared" si="443"/>
        <v>#REF!</v>
      </c>
      <c r="Z367" s="471"/>
      <c r="AA367" s="471"/>
    </row>
    <row r="368" spans="1:27" s="457" customFormat="1" ht="15.75" customHeight="1" x14ac:dyDescent="0.15">
      <c r="B368" s="473"/>
      <c r="C368" s="474" t="str">
        <f>"   공      종 : "&amp;목록!D$20</f>
        <v xml:space="preserve">   공      종 : 걸레받이</v>
      </c>
      <c r="D368" s="484"/>
      <c r="E368" s="476"/>
      <c r="F368" s="473"/>
      <c r="G368" s="478"/>
      <c r="H368" s="463" t="str">
        <f t="shared" si="440"/>
        <v xml:space="preserve">   공      종 : 걸레받이</v>
      </c>
      <c r="I368" s="479"/>
      <c r="J368" s="480"/>
      <c r="K368" s="481"/>
      <c r="L368" s="482"/>
      <c r="M368" s="482"/>
      <c r="N368" s="482"/>
      <c r="O368" s="466"/>
      <c r="P368" s="483"/>
      <c r="Q368" s="484"/>
      <c r="R368" s="485"/>
      <c r="S368" s="483"/>
      <c r="T368" s="470" t="str">
        <f t="shared" si="441"/>
        <v/>
      </c>
      <c r="V368" s="547"/>
      <c r="W368" s="471" t="str">
        <f t="shared" ref="W368:X368" si="445">W367</f>
        <v>도장공인</v>
      </c>
      <c r="X368" s="471" t="e">
        <f t="shared" si="445"/>
        <v>#REF!</v>
      </c>
      <c r="Y368" s="471" t="e">
        <f t="shared" si="443"/>
        <v>#REF!</v>
      </c>
      <c r="Z368" s="471"/>
      <c r="AA368" s="471"/>
    </row>
    <row r="369" spans="1:28" s="457" customFormat="1" ht="15.75" customHeight="1" x14ac:dyDescent="0.15">
      <c r="B369" s="473"/>
      <c r="C369" s="474" t="str">
        <f xml:space="preserve"> "   규      격 : "&amp;목록!F$20</f>
        <v xml:space="preserve">   규      격 : H=100, 지정도장마감</v>
      </c>
      <c r="D369" s="484"/>
      <c r="E369" s="476"/>
      <c r="F369" s="473"/>
      <c r="G369" s="478"/>
      <c r="H369" s="463" t="str">
        <f t="shared" si="440"/>
        <v xml:space="preserve">   규      격 : H=100, 지정도장마감</v>
      </c>
      <c r="I369" s="479"/>
      <c r="J369" s="480" t="s">
        <v>348</v>
      </c>
      <c r="K369" s="481"/>
      <c r="L369" s="482" t="s">
        <v>349</v>
      </c>
      <c r="M369" s="482"/>
      <c r="N369" s="482" t="s">
        <v>240</v>
      </c>
      <c r="O369" s="466"/>
      <c r="P369" s="483"/>
      <c r="Q369" s="484" t="s">
        <v>792</v>
      </c>
      <c r="R369" s="484"/>
      <c r="S369" s="483"/>
      <c r="T369" s="470" t="str">
        <f t="shared" si="441"/>
        <v>합계</v>
      </c>
      <c r="V369" s="547"/>
      <c r="W369" s="471" t="str">
        <f t="shared" ref="W369:X369" si="446">W368</f>
        <v>도장공인</v>
      </c>
      <c r="X369" s="471" t="e">
        <f t="shared" si="446"/>
        <v>#REF!</v>
      </c>
      <c r="Y369" s="471" t="e">
        <f t="shared" si="443"/>
        <v>#REF!</v>
      </c>
      <c r="Z369" s="471"/>
      <c r="AA369" s="471"/>
    </row>
    <row r="370" spans="1:28" s="457" customFormat="1" ht="15.75" customHeight="1" x14ac:dyDescent="0.15">
      <c r="B370" s="473"/>
      <c r="C370" s="474" t="str">
        <f>"   단      위 : "&amp;목록!G$20</f>
        <v xml:space="preserve">   단      위 : m</v>
      </c>
      <c r="D370" s="484"/>
      <c r="E370" s="476"/>
      <c r="F370" s="473"/>
      <c r="G370" s="478"/>
      <c r="H370" s="463" t="str">
        <f t="shared" si="440"/>
        <v xml:space="preserve">   단      위 : m</v>
      </c>
      <c r="I370" s="479"/>
      <c r="J370" s="486">
        <f>K390</f>
        <v>964</v>
      </c>
      <c r="K370" s="481"/>
      <c r="L370" s="487">
        <f>M390</f>
        <v>4848</v>
      </c>
      <c r="M370" s="482"/>
      <c r="N370" s="482">
        <f>O390</f>
        <v>0</v>
      </c>
      <c r="O370" s="466"/>
      <c r="P370" s="483"/>
      <c r="Q370" s="488">
        <f>J370+L370+N370</f>
        <v>5812</v>
      </c>
      <c r="R370" s="489"/>
      <c r="S370" s="483"/>
      <c r="T370" s="470" t="str">
        <f t="shared" si="441"/>
        <v>5812</v>
      </c>
      <c r="V370" s="547"/>
      <c r="W370" s="471" t="str">
        <f t="shared" ref="W370:X370" si="447">W369</f>
        <v>도장공인</v>
      </c>
      <c r="X370" s="471" t="e">
        <f t="shared" si="447"/>
        <v>#REF!</v>
      </c>
      <c r="Y370" s="471" t="e">
        <f t="shared" si="443"/>
        <v>#REF!</v>
      </c>
      <c r="Z370" s="471"/>
      <c r="AA370" s="471"/>
    </row>
    <row r="371" spans="1:28" s="457" customFormat="1" ht="15.75" customHeight="1" x14ac:dyDescent="0.15">
      <c r="B371" s="473"/>
      <c r="C371" s="474"/>
      <c r="D371" s="484"/>
      <c r="E371" s="476"/>
      <c r="F371" s="473"/>
      <c r="G371" s="490"/>
      <c r="H371" s="463" t="str">
        <f t="shared" si="440"/>
        <v/>
      </c>
      <c r="I371" s="491"/>
      <c r="J371" s="482"/>
      <c r="K371" s="465"/>
      <c r="L371" s="482"/>
      <c r="M371" s="482"/>
      <c r="N371" s="482"/>
      <c r="O371" s="466"/>
      <c r="P371" s="492"/>
      <c r="Q371" s="493"/>
      <c r="R371" s="485"/>
      <c r="S371" s="492"/>
      <c r="T371" s="470" t="str">
        <f t="shared" si="441"/>
        <v/>
      </c>
      <c r="V371" s="547"/>
      <c r="W371" s="471" t="str">
        <f t="shared" ref="W371:X371" si="448">W370</f>
        <v>도장공인</v>
      </c>
      <c r="X371" s="471" t="e">
        <f t="shared" si="448"/>
        <v>#REF!</v>
      </c>
      <c r="Y371" s="471" t="e">
        <f t="shared" si="443"/>
        <v>#REF!</v>
      </c>
      <c r="Z371" s="471"/>
      <c r="AA371" s="471"/>
    </row>
    <row r="372" spans="1:28" s="457" customFormat="1" ht="15.75" customHeight="1" x14ac:dyDescent="0.15">
      <c r="A372" s="547"/>
      <c r="B372" s="899" t="s">
        <v>375</v>
      </c>
      <c r="C372" s="900"/>
      <c r="D372" s="907" t="s">
        <v>356</v>
      </c>
      <c r="E372" s="908"/>
      <c r="F372" s="903" t="s">
        <v>793</v>
      </c>
      <c r="G372" s="913" t="s">
        <v>794</v>
      </c>
      <c r="H372" s="463" t="str">
        <f t="shared" si="440"/>
        <v>단위</v>
      </c>
      <c r="I372" s="575"/>
      <c r="J372" s="495" t="s">
        <v>348</v>
      </c>
      <c r="K372" s="496"/>
      <c r="L372" s="495" t="s">
        <v>349</v>
      </c>
      <c r="M372" s="496"/>
      <c r="N372" s="497" t="s">
        <v>240</v>
      </c>
      <c r="O372" s="497"/>
      <c r="P372" s="498"/>
      <c r="Q372" s="744" t="s">
        <v>355</v>
      </c>
      <c r="R372" s="744"/>
      <c r="S372" s="499"/>
      <c r="T372" s="470" t="str">
        <f t="shared" si="441"/>
        <v>비  고</v>
      </c>
      <c r="V372" s="548"/>
      <c r="W372" s="471" t="str">
        <f t="shared" ref="W372:X372" si="449">W371</f>
        <v>도장공인</v>
      </c>
      <c r="X372" s="471" t="e">
        <f t="shared" si="449"/>
        <v>#REF!</v>
      </c>
      <c r="Y372" s="471" t="e">
        <f t="shared" si="443"/>
        <v>#REF!</v>
      </c>
      <c r="Z372" s="471"/>
      <c r="AA372" s="471"/>
    </row>
    <row r="373" spans="1:28" s="457" customFormat="1" ht="15.75" customHeight="1" x14ac:dyDescent="0.15">
      <c r="A373" s="547"/>
      <c r="B373" s="901"/>
      <c r="C373" s="902"/>
      <c r="D373" s="909"/>
      <c r="E373" s="910"/>
      <c r="F373" s="904"/>
      <c r="G373" s="914"/>
      <c r="H373" s="463" t="str">
        <f t="shared" si="440"/>
        <v/>
      </c>
      <c r="I373" s="576"/>
      <c r="J373" s="501" t="s">
        <v>353</v>
      </c>
      <c r="K373" s="501" t="s">
        <v>354</v>
      </c>
      <c r="L373" s="501" t="s">
        <v>353</v>
      </c>
      <c r="M373" s="577" t="s">
        <v>354</v>
      </c>
      <c r="N373" s="501" t="s">
        <v>353</v>
      </c>
      <c r="O373" s="501" t="s">
        <v>354</v>
      </c>
      <c r="P373" s="503"/>
      <c r="Q373" s="745"/>
      <c r="R373" s="745"/>
      <c r="S373" s="504"/>
      <c r="T373" s="470" t="str">
        <f t="shared" si="441"/>
        <v/>
      </c>
      <c r="V373" s="548"/>
      <c r="W373" s="471" t="str">
        <f t="shared" ref="W373:X373" si="450">W372</f>
        <v>도장공인</v>
      </c>
      <c r="X373" s="471" t="e">
        <f t="shared" si="450"/>
        <v>#REF!</v>
      </c>
      <c r="Y373" s="471" t="e">
        <f t="shared" si="443"/>
        <v>#REF!</v>
      </c>
      <c r="Z373" s="471"/>
      <c r="AA373" s="471"/>
    </row>
    <row r="374" spans="1:28" s="457" customFormat="1" ht="15.75" customHeight="1" x14ac:dyDescent="0.15">
      <c r="A374" s="470"/>
      <c r="B374" s="95"/>
      <c r="C374" s="140" t="s">
        <v>441</v>
      </c>
      <c r="D374" s="95"/>
      <c r="E374" s="541" t="s">
        <v>442</v>
      </c>
      <c r="F374" s="94" t="s">
        <v>350</v>
      </c>
      <c r="G374" s="801">
        <f>TRUNC(1*(105%)*0.1,4)</f>
        <v>0.105</v>
      </c>
      <c r="H374" s="463" t="str">
        <f t="shared" si="440"/>
        <v>M.D.FTHK=9mm, EO㎡</v>
      </c>
      <c r="I374" s="451" t="str">
        <f>CONCATENATE(C374,E374,F374)</f>
        <v>M.D.FTHK=9mm, EO㎡</v>
      </c>
      <c r="J374" s="506">
        <f>IF(OR($F374="인",$F374=""),"",VLOOKUP($H374,단가!$A:$S,19,FALSE))</f>
        <v>3728</v>
      </c>
      <c r="K374" s="507">
        <f t="shared" ref="K374:K389" si="451">IF(J374="","",TRUNC($G374*J374,0))</f>
        <v>391</v>
      </c>
      <c r="L374" s="506" t="str">
        <f>IF($F374="인",VLOOKUP($C:$C,노임!$C:$G,4,FALSE),"")</f>
        <v/>
      </c>
      <c r="M374" s="507" t="str">
        <f t="shared" ref="M374:M389" si="452">IF(L374="","",TRUNC($G374*L374,0))</f>
        <v/>
      </c>
      <c r="N374" s="507"/>
      <c r="O374" s="507" t="str">
        <f>IF(N374="","",TRUNC($G374*N374,0))</f>
        <v/>
      </c>
      <c r="P374" s="508"/>
      <c r="Q374" s="509" t="str">
        <f>IF(F374="인","노임"&amp;VLOOKUP($C:$C,노임!C:G,5,FALSE)&amp;"번","단가"&amp;VLOOKUP($H:$H,단가!$A:$B,2,FALSE)&amp;"번")</f>
        <v>단가52번</v>
      </c>
      <c r="R374" s="510"/>
      <c r="S374" s="131"/>
      <c r="T374" s="470" t="str">
        <f t="shared" si="441"/>
        <v>단가52번</v>
      </c>
      <c r="V374" s="549"/>
      <c r="W374" s="471" t="str">
        <f t="shared" ref="W374:X374" si="453">W373</f>
        <v>도장공인</v>
      </c>
      <c r="X374" s="471" t="e">
        <f t="shared" si="453"/>
        <v>#REF!</v>
      </c>
      <c r="Y374" s="471" t="e">
        <f t="shared" si="443"/>
        <v>#REF!</v>
      </c>
      <c r="Z374" s="471"/>
      <c r="AA374" s="471"/>
    </row>
    <row r="375" spans="1:28" s="470" customFormat="1" ht="15.75" customHeight="1" x14ac:dyDescent="0.15">
      <c r="B375" s="95"/>
      <c r="C375" s="140" t="s">
        <v>824</v>
      </c>
      <c r="D375" s="95"/>
      <c r="E375" s="206" t="s">
        <v>825</v>
      </c>
      <c r="F375" s="94" t="s">
        <v>800</v>
      </c>
      <c r="G375" s="801">
        <f>(0.022+0.035)/2</f>
        <v>2.8500000000000001E-2</v>
      </c>
      <c r="H375" s="463" t="str">
        <f t="shared" si="440"/>
        <v>접착제합판용Kg</v>
      </c>
      <c r="I375" s="451" t="str">
        <f>CONCATENATE(C375,E375,F375)</f>
        <v>접착제합판용Kg</v>
      </c>
      <c r="J375" s="506">
        <f>IF(OR($F375="인",$F375=""),"",VLOOKUP($H375,단가!$A:$S,19,FALSE))</f>
        <v>10500</v>
      </c>
      <c r="K375" s="507">
        <f t="shared" si="451"/>
        <v>299</v>
      </c>
      <c r="L375" s="506" t="str">
        <f>IF($F375="인",VLOOKUP($C:$C,노임!$C:$G,4,FALSE),"")</f>
        <v/>
      </c>
      <c r="M375" s="507" t="str">
        <f t="shared" si="452"/>
        <v/>
      </c>
      <c r="N375" s="507"/>
      <c r="O375" s="507" t="str">
        <f>IF(N375="","",TRUNC($G375*N375,0))</f>
        <v/>
      </c>
      <c r="P375" s="508"/>
      <c r="Q375" s="509" t="str">
        <f>IF(F375="인","노임"&amp;VLOOKUP($C:$C,노임!C:G,5,FALSE)&amp;"번","단가"&amp;VLOOKUP($H:$H,단가!$A:$B,2,FALSE)&amp;"번")</f>
        <v>단가69번</v>
      </c>
      <c r="R375" s="510"/>
      <c r="S375" s="131"/>
      <c r="T375" s="470" t="str">
        <f t="shared" si="441"/>
        <v>단가69번</v>
      </c>
      <c r="U375" s="470" t="s">
        <v>979</v>
      </c>
      <c r="V375" s="549"/>
      <c r="W375" s="471" t="str">
        <f t="shared" ref="W375:X375" si="454">W374</f>
        <v>도장공인</v>
      </c>
      <c r="X375" s="471" t="e">
        <f t="shared" si="454"/>
        <v>#REF!</v>
      </c>
      <c r="Y375" s="471" t="e">
        <f t="shared" si="443"/>
        <v>#REF!</v>
      </c>
      <c r="Z375" s="471"/>
      <c r="AA375" s="471"/>
      <c r="AB375" s="457"/>
    </row>
    <row r="376" spans="1:28" s="470" customFormat="1" ht="15.75" customHeight="1" x14ac:dyDescent="0.15">
      <c r="B376" s="95"/>
      <c r="C376" s="140" t="s">
        <v>816</v>
      </c>
      <c r="D376" s="95"/>
      <c r="E376" s="141" t="s">
        <v>826</v>
      </c>
      <c r="F376" s="94" t="s">
        <v>750</v>
      </c>
      <c r="G376" s="801">
        <v>1.4E-2</v>
      </c>
      <c r="H376" s="463" t="str">
        <f t="shared" si="440"/>
        <v>내장공걸레받이 설치인</v>
      </c>
      <c r="I376" s="451" t="str">
        <f>CONCATENATE(C376,E376,F376)</f>
        <v>내장공걸레받이 설치인</v>
      </c>
      <c r="J376" s="506" t="str">
        <f>IF(OR($F376="인",$F376=""),"",VLOOKUP($H376,단가!$A:$S,19,FALSE))</f>
        <v/>
      </c>
      <c r="K376" s="507" t="str">
        <f t="shared" si="451"/>
        <v/>
      </c>
      <c r="L376" s="506">
        <f>IF($F376="인",VLOOKUP($C:$C,노임!$C:$G,4,FALSE),"")</f>
        <v>160195</v>
      </c>
      <c r="M376" s="507">
        <f t="shared" si="452"/>
        <v>2242</v>
      </c>
      <c r="N376" s="507"/>
      <c r="O376" s="507" t="str">
        <f>IF(N376="","",TRUNC($G376*N376,0))</f>
        <v/>
      </c>
      <c r="P376" s="508"/>
      <c r="Q376" s="509" t="str">
        <f>IF(F376="인","노임"&amp;VLOOKUP($C:$C,노임!C:G,5,FALSE)&amp;"번","단가"&amp;VLOOKUP($H:$H,단가!$A:$B,2,FALSE)&amp;"번")</f>
        <v>노임1030번</v>
      </c>
      <c r="R376" s="510"/>
      <c r="S376" s="131"/>
      <c r="T376" s="470" t="str">
        <f t="shared" si="441"/>
        <v>노임1030번</v>
      </c>
      <c r="V376" s="549"/>
      <c r="W376" s="471" t="str">
        <f t="shared" ref="W376:X376" si="455">W375</f>
        <v>도장공인</v>
      </c>
      <c r="X376" s="471" t="e">
        <f t="shared" si="455"/>
        <v>#REF!</v>
      </c>
      <c r="Y376" s="471" t="e">
        <f t="shared" si="443"/>
        <v>#REF!</v>
      </c>
      <c r="Z376" s="471"/>
      <c r="AA376" s="471"/>
      <c r="AB376" s="457"/>
    </row>
    <row r="377" spans="1:28" s="470" customFormat="1" ht="15.75" customHeight="1" x14ac:dyDescent="0.15">
      <c r="B377" s="95"/>
      <c r="C377" s="140" t="s">
        <v>767</v>
      </c>
      <c r="D377" s="95"/>
      <c r="E377" s="141" t="s">
        <v>826</v>
      </c>
      <c r="F377" s="94" t="s">
        <v>750</v>
      </c>
      <c r="G377" s="801">
        <v>3.0000000000000001E-3</v>
      </c>
      <c r="H377" s="463" t="str">
        <f>CONCATENATE(C377,E377,F377)</f>
        <v>보통인부걸레받이 설치인</v>
      </c>
      <c r="I377" s="451" t="str">
        <f>CONCATENATE(C377,E377,F377)</f>
        <v>보통인부걸레받이 설치인</v>
      </c>
      <c r="J377" s="506" t="str">
        <f>IF(OR($F377="인",$F377=""),"",VLOOKUP($H377,단가!$A:$S,19,FALSE))</f>
        <v/>
      </c>
      <c r="K377" s="507" t="str">
        <f t="shared" si="451"/>
        <v/>
      </c>
      <c r="L377" s="506">
        <f>IF($F377="인",VLOOKUP($C:$C,노임!$C:$G,4,FALSE),"")</f>
        <v>106846</v>
      </c>
      <c r="M377" s="507">
        <f t="shared" si="452"/>
        <v>320</v>
      </c>
      <c r="N377" s="507"/>
      <c r="O377" s="507" t="str">
        <f>IF(N377="","",TRUNC($G377*N377,0))</f>
        <v/>
      </c>
      <c r="P377" s="508"/>
      <c r="Q377" s="509" t="str">
        <f>IF(F377="인","노임"&amp;VLOOKUP($C:$C,노임!C:G,5,FALSE)&amp;"번","단가"&amp;VLOOKUP($H:$H,단가!$A:$B,2,FALSE)&amp;"번")</f>
        <v>노임1002번</v>
      </c>
      <c r="R377" s="534"/>
      <c r="S377" s="131"/>
      <c r="T377" s="470" t="str">
        <f t="shared" si="441"/>
        <v>노임1002번</v>
      </c>
      <c r="V377" s="549"/>
      <c r="W377" s="471" t="str">
        <f t="shared" ref="W377:X377" si="456">W376</f>
        <v>도장공인</v>
      </c>
      <c r="X377" s="471" t="e">
        <f t="shared" si="456"/>
        <v>#REF!</v>
      </c>
      <c r="Y377" s="471" t="e">
        <f t="shared" si="443"/>
        <v>#REF!</v>
      </c>
      <c r="Z377" s="471"/>
      <c r="AA377" s="471"/>
    </row>
    <row r="378" spans="1:28" s="470" customFormat="1" ht="15.75" customHeight="1" x14ac:dyDescent="0.15">
      <c r="B378" s="95"/>
      <c r="C378" s="140" t="s">
        <v>766</v>
      </c>
      <c r="D378" s="95"/>
      <c r="E378" s="141" t="s">
        <v>827</v>
      </c>
      <c r="F378" s="94" t="s">
        <v>777</v>
      </c>
      <c r="G378" s="801">
        <v>1</v>
      </c>
      <c r="H378" s="463"/>
      <c r="I378" s="451">
        <f>TRUNC((L377)*3%,0)</f>
        <v>3205</v>
      </c>
      <c r="J378" s="506">
        <f>TRUNC((M376+M377)*2%,0)</f>
        <v>51</v>
      </c>
      <c r="K378" s="507">
        <f t="shared" si="451"/>
        <v>51</v>
      </c>
      <c r="L378" s="506" t="str">
        <f>IF($F378="인",VLOOKUP($C:$C,노임!$C:$G,4,FALSE),"")</f>
        <v/>
      </c>
      <c r="M378" s="507" t="str">
        <f t="shared" si="452"/>
        <v/>
      </c>
      <c r="N378" s="507" t="str">
        <f>IF(M378="","",TRUNC($G378*M378,0))</f>
        <v/>
      </c>
      <c r="O378" s="507"/>
      <c r="P378" s="508"/>
      <c r="Q378" s="509"/>
      <c r="R378" s="534"/>
      <c r="S378" s="131"/>
      <c r="T378" s="470" t="str">
        <f t="shared" si="441"/>
        <v/>
      </c>
      <c r="V378" s="549"/>
      <c r="W378" s="471" t="str">
        <f t="shared" ref="W378:X378" si="457">W377</f>
        <v>도장공인</v>
      </c>
      <c r="X378" s="471" t="e">
        <f t="shared" si="457"/>
        <v>#REF!</v>
      </c>
      <c r="Y378" s="471" t="e">
        <f t="shared" si="443"/>
        <v>#REF!</v>
      </c>
      <c r="Z378" s="471"/>
      <c r="AA378" s="471"/>
    </row>
    <row r="379" spans="1:28" s="470" customFormat="1" ht="15.75" customHeight="1" x14ac:dyDescent="0.15">
      <c r="B379" s="95"/>
      <c r="C379" s="140" t="s">
        <v>828</v>
      </c>
      <c r="D379" s="95"/>
      <c r="E379" s="541" t="s">
        <v>829</v>
      </c>
      <c r="F379" s="94" t="s">
        <v>800</v>
      </c>
      <c r="G379" s="801">
        <f>TRUNC(0.667*0.1,4)</f>
        <v>6.6699999999999995E-2</v>
      </c>
      <c r="H379" s="463" t="str">
        <f>CONCATENATE(C379,E379,F379)</f>
        <v>퍼티핸디택스(인테리어전용)Kg</v>
      </c>
      <c r="I379" s="451" t="str">
        <f>CONCATENATE(C379,E379,F379)</f>
        <v>퍼티핸디택스(인테리어전용)Kg</v>
      </c>
      <c r="J379" s="506">
        <f>IF(OR($F379="인",$F379=""),"",VLOOKUP($H379,단가!$A:$S,19,FALSE))</f>
        <v>1150</v>
      </c>
      <c r="K379" s="507">
        <f t="shared" si="451"/>
        <v>76</v>
      </c>
      <c r="L379" s="506" t="str">
        <f>IF($F379="인",VLOOKUP($C:$C,노임!$C:$G,4,FALSE),"")</f>
        <v/>
      </c>
      <c r="M379" s="507" t="str">
        <f t="shared" si="452"/>
        <v/>
      </c>
      <c r="N379" s="507"/>
      <c r="O379" s="507" t="str">
        <f>IF(N379="","",TRUNC($G379*N379,0))</f>
        <v/>
      </c>
      <c r="P379" s="508"/>
      <c r="Q379" s="509" t="str">
        <f>IF(F379="인","노임"&amp;VLOOKUP($C:$C,노임!C:G,5,FALSE)&amp;"번","단가"&amp;VLOOKUP($H:$H,단가!$A:$B,2,FALSE)&amp;"번")</f>
        <v>단가39번</v>
      </c>
      <c r="R379" s="510"/>
      <c r="S379" s="131"/>
      <c r="T379" s="470" t="str">
        <f t="shared" si="441"/>
        <v>단가39번</v>
      </c>
      <c r="V379" s="549"/>
      <c r="W379" s="471" t="str">
        <f t="shared" ref="W379:X379" si="458">W378</f>
        <v>도장공인</v>
      </c>
      <c r="X379" s="471" t="e">
        <f t="shared" si="458"/>
        <v>#REF!</v>
      </c>
      <c r="Y379" s="471" t="e">
        <f t="shared" si="443"/>
        <v>#REF!</v>
      </c>
      <c r="Z379" s="471"/>
      <c r="AA379" s="471"/>
    </row>
    <row r="380" spans="1:28" s="470" customFormat="1" ht="15.75" customHeight="1" x14ac:dyDescent="0.15">
      <c r="B380" s="95"/>
      <c r="C380" s="140" t="s">
        <v>830</v>
      </c>
      <c r="D380" s="95"/>
      <c r="E380" s="141" t="s">
        <v>831</v>
      </c>
      <c r="F380" s="94" t="s">
        <v>812</v>
      </c>
      <c r="G380" s="801">
        <f>TRUNC(0.18*0.1,4)</f>
        <v>1.7999999999999999E-2</v>
      </c>
      <c r="H380" s="463" t="str">
        <f>CONCATENATE(C380,E380,F380)</f>
        <v>연마지#120매</v>
      </c>
      <c r="I380" s="451" t="str">
        <f>CONCATENATE(C380,E380,F380)</f>
        <v>연마지#120매</v>
      </c>
      <c r="J380" s="506">
        <f>IF(OR($F380="인",$F380=""),"",VLOOKUP($H380,단가!$A:$S,19,FALSE))</f>
        <v>200</v>
      </c>
      <c r="K380" s="507">
        <f t="shared" si="451"/>
        <v>3</v>
      </c>
      <c r="L380" s="506" t="str">
        <f>IF($F380="인",VLOOKUP($C:$C,노임!$C:$G,4,FALSE),"")</f>
        <v/>
      </c>
      <c r="M380" s="507" t="str">
        <f t="shared" si="452"/>
        <v/>
      </c>
      <c r="N380" s="507"/>
      <c r="O380" s="507" t="str">
        <f>IF(N380="","",TRUNC($G380*N380,0))</f>
        <v/>
      </c>
      <c r="P380" s="508"/>
      <c r="Q380" s="509" t="str">
        <f>IF(F380="인","노임"&amp;VLOOKUP($C:$C,노임!C:G,5,FALSE)&amp;"번","단가"&amp;VLOOKUP($H:$H,단가!$A:$B,2,FALSE)&amp;"번")</f>
        <v>단가57번</v>
      </c>
      <c r="R380" s="510"/>
      <c r="S380" s="131"/>
      <c r="T380" s="470" t="str">
        <f t="shared" si="441"/>
        <v>단가57번</v>
      </c>
      <c r="V380" s="549"/>
      <c r="W380" s="471" t="str">
        <f t="shared" ref="W380:X380" si="459">W379</f>
        <v>도장공인</v>
      </c>
      <c r="X380" s="471" t="e">
        <f t="shared" si="459"/>
        <v>#REF!</v>
      </c>
      <c r="Y380" s="471" t="e">
        <f t="shared" si="443"/>
        <v>#REF!</v>
      </c>
      <c r="Z380" s="471"/>
      <c r="AA380" s="471"/>
    </row>
    <row r="381" spans="1:28" s="470" customFormat="1" ht="15.75" customHeight="1" x14ac:dyDescent="0.15">
      <c r="B381" s="95"/>
      <c r="C381" s="140" t="s">
        <v>817</v>
      </c>
      <c r="D381" s="95"/>
      <c r="E381" s="141"/>
      <c r="F381" s="94" t="s">
        <v>750</v>
      </c>
      <c r="G381" s="801">
        <f>TRUNC(0.066*0.1,4)</f>
        <v>6.6E-3</v>
      </c>
      <c r="H381" s="463" t="str">
        <f>CONCATENATE(C381,E381,F381)</f>
        <v>도장공인</v>
      </c>
      <c r="I381" s="451" t="str">
        <f>CONCATENATE(C381,E381,F381)</f>
        <v>도장공인</v>
      </c>
      <c r="J381" s="506" t="str">
        <f>IF(OR($F381="인",$F381=""),"",VLOOKUP($H381,단가!$A:$S,19,FALSE))</f>
        <v/>
      </c>
      <c r="K381" s="507" t="str">
        <f t="shared" si="451"/>
        <v/>
      </c>
      <c r="L381" s="506">
        <f>IF($F381="인",VLOOKUP($C:$C,노임!$C:$G,4,FALSE),"")</f>
        <v>148659</v>
      </c>
      <c r="M381" s="507">
        <f t="shared" si="452"/>
        <v>981</v>
      </c>
      <c r="N381" s="507"/>
      <c r="O381" s="507" t="str">
        <f>IF(N381="","",TRUNC($G381*N381,0))</f>
        <v/>
      </c>
      <c r="P381" s="508"/>
      <c r="Q381" s="509" t="str">
        <f>IF(F381="인","노임"&amp;VLOOKUP($C:$C,노임!C:G,5,FALSE)&amp;"번","단가"&amp;VLOOKUP($H:$H,단가!$A:$B,2,FALSE)&amp;"번")</f>
        <v>노임1029번</v>
      </c>
      <c r="R381" s="510"/>
      <c r="S381" s="131"/>
      <c r="T381" s="470" t="str">
        <f t="shared" si="441"/>
        <v>노임1029번</v>
      </c>
      <c r="V381" s="549"/>
      <c r="W381" s="471" t="str">
        <f t="shared" ref="W381:X381" si="460">W380</f>
        <v>도장공인</v>
      </c>
      <c r="X381" s="471" t="e">
        <f t="shared" si="460"/>
        <v>#REF!</v>
      </c>
      <c r="Y381" s="471" t="e">
        <f t="shared" si="443"/>
        <v>#REF!</v>
      </c>
      <c r="Z381" s="471"/>
      <c r="AA381" s="471"/>
    </row>
    <row r="382" spans="1:28" s="470" customFormat="1" ht="15.75" customHeight="1" x14ac:dyDescent="0.15">
      <c r="B382" s="95"/>
      <c r="C382" s="140" t="s">
        <v>767</v>
      </c>
      <c r="D382" s="95"/>
      <c r="E382" s="141"/>
      <c r="F382" s="94" t="s">
        <v>750</v>
      </c>
      <c r="G382" s="801">
        <f>TRUNC(0.018*0.1,4)</f>
        <v>1.8E-3</v>
      </c>
      <c r="H382" s="463" t="str">
        <f>CONCATENATE(C382,E382,F382)</f>
        <v>보통인부인</v>
      </c>
      <c r="I382" s="451" t="str">
        <f>CONCATENATE(C382,E382,F382)</f>
        <v>보통인부인</v>
      </c>
      <c r="J382" s="506" t="str">
        <f>IF(OR($F382="인",$F382=""),"",VLOOKUP($H382,단가!$A:$S,19,FALSE))</f>
        <v/>
      </c>
      <c r="K382" s="507" t="str">
        <f t="shared" si="451"/>
        <v/>
      </c>
      <c r="L382" s="506">
        <f>IF($F382="인",VLOOKUP($C:$C,노임!$C:$G,4,FALSE),"")</f>
        <v>106846</v>
      </c>
      <c r="M382" s="507">
        <f t="shared" si="452"/>
        <v>192</v>
      </c>
      <c r="N382" s="507"/>
      <c r="O382" s="507" t="str">
        <f>IF(N382="","",TRUNC($G382*N382,0))</f>
        <v/>
      </c>
      <c r="P382" s="508"/>
      <c r="Q382" s="509" t="str">
        <f>IF(F382="인","노임"&amp;VLOOKUP($C:$C,노임!C:G,5,FALSE)&amp;"번","단가"&amp;VLOOKUP($H:$H,단가!$A:$B,2,FALSE)&amp;"번")</f>
        <v>노임1002번</v>
      </c>
      <c r="R382" s="534"/>
      <c r="S382" s="131"/>
      <c r="T382" s="470" t="str">
        <f t="shared" si="441"/>
        <v>노임1002번</v>
      </c>
      <c r="V382" s="549"/>
      <c r="W382" s="471" t="str">
        <f t="shared" ref="W382:X382" si="461">W381</f>
        <v>도장공인</v>
      </c>
      <c r="X382" s="471" t="e">
        <f t="shared" si="461"/>
        <v>#REF!</v>
      </c>
      <c r="Y382" s="471" t="e">
        <f t="shared" si="443"/>
        <v>#REF!</v>
      </c>
      <c r="Z382" s="471"/>
      <c r="AA382" s="471"/>
    </row>
    <row r="383" spans="1:28" s="470" customFormat="1" ht="15.75" customHeight="1" x14ac:dyDescent="0.15">
      <c r="B383" s="95"/>
      <c r="C383" s="140" t="s">
        <v>766</v>
      </c>
      <c r="D383" s="95"/>
      <c r="E383" s="141" t="s">
        <v>827</v>
      </c>
      <c r="F383" s="94" t="s">
        <v>777</v>
      </c>
      <c r="G383" s="801">
        <v>1</v>
      </c>
      <c r="H383" s="463"/>
      <c r="I383" s="451">
        <f>TRUNC((L382)*3%,0)</f>
        <v>3205</v>
      </c>
      <c r="J383" s="506">
        <f>TRUNC((M381+M382)*2%,0)</f>
        <v>23</v>
      </c>
      <c r="K383" s="507">
        <f t="shared" si="451"/>
        <v>23</v>
      </c>
      <c r="L383" s="506" t="str">
        <f>IF($F383="인",VLOOKUP($C:$C,노임!$C:$G,4,FALSE),"")</f>
        <v/>
      </c>
      <c r="M383" s="507" t="str">
        <f t="shared" si="452"/>
        <v/>
      </c>
      <c r="N383" s="507" t="str">
        <f>IF(M383="","",TRUNC($G383*M383,0))</f>
        <v/>
      </c>
      <c r="O383" s="507"/>
      <c r="P383" s="508"/>
      <c r="Q383" s="509"/>
      <c r="R383" s="534"/>
      <c r="S383" s="131"/>
      <c r="T383" s="470" t="str">
        <f t="shared" si="441"/>
        <v/>
      </c>
      <c r="V383" s="549"/>
      <c r="W383" s="471" t="str">
        <f t="shared" ref="W383:X383" si="462">W382</f>
        <v>도장공인</v>
      </c>
      <c r="X383" s="471" t="e">
        <f t="shared" si="462"/>
        <v>#REF!</v>
      </c>
      <c r="Y383" s="471" t="e">
        <f t="shared" si="443"/>
        <v>#REF!</v>
      </c>
      <c r="Z383" s="471"/>
      <c r="AA383" s="471"/>
    </row>
    <row r="384" spans="1:28" s="470" customFormat="1" ht="15.75" customHeight="1" x14ac:dyDescent="0.15">
      <c r="B384" s="95"/>
      <c r="C384" s="140" t="s">
        <v>832</v>
      </c>
      <c r="D384" s="95"/>
      <c r="E384" s="541" t="s">
        <v>833</v>
      </c>
      <c r="F384" s="94" t="s">
        <v>778</v>
      </c>
      <c r="G384" s="801">
        <f>TRUNC(0.26*0.1,4)</f>
        <v>2.5999999999999999E-2</v>
      </c>
      <c r="H384" s="463" t="str">
        <f t="shared" ref="H384:H390" si="463">CONCATENATE(C384,E384,F384)</f>
        <v>페인트걸레받이용 아크릴수지ℓ</v>
      </c>
      <c r="I384" s="451" t="str">
        <f t="shared" ref="I384:I389" si="464">CONCATENATE(C384,E384,F384)</f>
        <v>페인트걸레받이용 아크릴수지ℓ</v>
      </c>
      <c r="J384" s="506">
        <f>IF(OR($F384="인",$F384=""),"",VLOOKUP($H384,단가!$A:$S,19,FALSE))</f>
        <v>3700</v>
      </c>
      <c r="K384" s="507">
        <f t="shared" si="451"/>
        <v>96</v>
      </c>
      <c r="L384" s="506" t="str">
        <f>IF($F384="인",VLOOKUP($C:$C,노임!$C:$G,4,FALSE),"")</f>
        <v/>
      </c>
      <c r="M384" s="507" t="str">
        <f t="shared" si="452"/>
        <v/>
      </c>
      <c r="N384" s="507"/>
      <c r="O384" s="507" t="str">
        <f t="shared" ref="O384:O389" si="465">IF(N384="","",TRUNC($G384*N384,0))</f>
        <v/>
      </c>
      <c r="P384" s="508"/>
      <c r="Q384" s="509" t="str">
        <f>IF(F384="인","노임"&amp;VLOOKUP($C:$C,노임!C:G,5,FALSE)&amp;"번","단가"&amp;VLOOKUP($H:$H,단가!$A:$B,2,FALSE)&amp;"번")</f>
        <v>단가80번</v>
      </c>
      <c r="R384" s="510"/>
      <c r="S384" s="131"/>
      <c r="T384" s="470" t="str">
        <f t="shared" si="441"/>
        <v>단가80번</v>
      </c>
      <c r="V384" s="549"/>
      <c r="W384" s="471" t="str">
        <f t="shared" ref="W384:X384" si="466">W383</f>
        <v>도장공인</v>
      </c>
      <c r="X384" s="471" t="e">
        <f t="shared" si="466"/>
        <v>#REF!</v>
      </c>
      <c r="Y384" s="471" t="e">
        <f t="shared" si="443"/>
        <v>#REF!</v>
      </c>
      <c r="Z384" s="471"/>
      <c r="AA384" s="471"/>
    </row>
    <row r="385" spans="1:40" s="470" customFormat="1" ht="15.75" customHeight="1" x14ac:dyDescent="0.15">
      <c r="B385" s="95"/>
      <c r="C385" s="140" t="s">
        <v>834</v>
      </c>
      <c r="D385" s="95"/>
      <c r="E385" s="440" t="s">
        <v>835</v>
      </c>
      <c r="F385" s="94" t="s">
        <v>778</v>
      </c>
      <c r="G385" s="801">
        <f>TRUNC(0.05*0.1,4)</f>
        <v>5.0000000000000001E-3</v>
      </c>
      <c r="H385" s="463" t="str">
        <f t="shared" si="463"/>
        <v>신너KSM6060-1ℓ</v>
      </c>
      <c r="I385" s="451" t="str">
        <f t="shared" si="464"/>
        <v>신너KSM6060-1ℓ</v>
      </c>
      <c r="J385" s="506">
        <f>IF(OR($F385="인",$F385=""),"",VLOOKUP($H385,단가!$A:$S,19,FALSE))</f>
        <v>1840</v>
      </c>
      <c r="K385" s="507">
        <f t="shared" si="451"/>
        <v>9</v>
      </c>
      <c r="L385" s="506" t="str">
        <f>IF($F385="인",VLOOKUP($C:$C,노임!$C:$G,4,FALSE),"")</f>
        <v/>
      </c>
      <c r="M385" s="507" t="str">
        <f t="shared" si="452"/>
        <v/>
      </c>
      <c r="N385" s="507"/>
      <c r="O385" s="507" t="str">
        <f t="shared" si="465"/>
        <v/>
      </c>
      <c r="P385" s="508"/>
      <c r="Q385" s="509" t="str">
        <f>IF(F385="인","노임"&amp;VLOOKUP($C:$C,노임!C:G,5,FALSE)&amp;"번","단가"&amp;VLOOKUP($H:$H,단가!$A:$B,2,FALSE)&amp;"번")</f>
        <v>단가32번</v>
      </c>
      <c r="R385" s="510"/>
      <c r="S385" s="131"/>
      <c r="T385" s="470" t="str">
        <f t="shared" si="441"/>
        <v>단가32번</v>
      </c>
      <c r="V385" s="549"/>
      <c r="W385" s="471" t="str">
        <f t="shared" ref="W385:X385" si="467">W384</f>
        <v>도장공인</v>
      </c>
      <c r="X385" s="471" t="e">
        <f t="shared" si="467"/>
        <v>#REF!</v>
      </c>
      <c r="Y385" s="471" t="e">
        <f t="shared" si="443"/>
        <v>#REF!</v>
      </c>
      <c r="Z385" s="471"/>
      <c r="AA385" s="471"/>
    </row>
    <row r="386" spans="1:40" s="470" customFormat="1" ht="15.75" customHeight="1" x14ac:dyDescent="0.15">
      <c r="B386" s="95"/>
      <c r="C386" s="140" t="s">
        <v>828</v>
      </c>
      <c r="D386" s="95"/>
      <c r="E386" s="541" t="s">
        <v>829</v>
      </c>
      <c r="F386" s="94" t="s">
        <v>800</v>
      </c>
      <c r="G386" s="801">
        <f>TRUNC(0.06*0.1,4)</f>
        <v>6.0000000000000001E-3</v>
      </c>
      <c r="H386" s="463" t="str">
        <f t="shared" si="463"/>
        <v>퍼티핸디택스(인테리어전용)Kg</v>
      </c>
      <c r="I386" s="451" t="str">
        <f t="shared" si="464"/>
        <v>퍼티핸디택스(인테리어전용)Kg</v>
      </c>
      <c r="J386" s="506">
        <f>IF(OR($F386="인",$F386=""),"",VLOOKUP($H386,단가!$A:$S,19,FALSE))</f>
        <v>1150</v>
      </c>
      <c r="K386" s="507">
        <f t="shared" si="451"/>
        <v>6</v>
      </c>
      <c r="L386" s="506" t="str">
        <f>IF($F386="인",VLOOKUP($C:$C,노임!$C:$G,4,FALSE),"")</f>
        <v/>
      </c>
      <c r="M386" s="507" t="str">
        <f t="shared" si="452"/>
        <v/>
      </c>
      <c r="N386" s="507"/>
      <c r="O386" s="507" t="str">
        <f t="shared" si="465"/>
        <v/>
      </c>
      <c r="P386" s="508"/>
      <c r="Q386" s="509" t="str">
        <f>IF(F386="인","노임"&amp;VLOOKUP($C:$C,노임!C:G,5,FALSE)&amp;"번","단가"&amp;VLOOKUP($H:$H,단가!$A:$B,2,FALSE)&amp;"번")</f>
        <v>단가39번</v>
      </c>
      <c r="R386" s="510"/>
      <c r="S386" s="131"/>
      <c r="T386" s="470" t="str">
        <f t="shared" si="441"/>
        <v>단가39번</v>
      </c>
      <c r="V386" s="549"/>
      <c r="W386" s="471" t="str">
        <f t="shared" ref="W386:X386" si="468">W385</f>
        <v>도장공인</v>
      </c>
      <c r="X386" s="471" t="e">
        <f t="shared" si="468"/>
        <v>#REF!</v>
      </c>
      <c r="Y386" s="471" t="e">
        <f t="shared" si="443"/>
        <v>#REF!</v>
      </c>
      <c r="Z386" s="471"/>
      <c r="AA386" s="471"/>
    </row>
    <row r="387" spans="1:40" s="470" customFormat="1" ht="15.75" customHeight="1" x14ac:dyDescent="0.15">
      <c r="B387" s="95"/>
      <c r="C387" s="140" t="s">
        <v>830</v>
      </c>
      <c r="D387" s="95"/>
      <c r="E387" s="141" t="s">
        <v>831</v>
      </c>
      <c r="F387" s="94" t="s">
        <v>812</v>
      </c>
      <c r="G387" s="801">
        <f>TRUNC(0.5*0.1,4)</f>
        <v>0.05</v>
      </c>
      <c r="H387" s="463" t="str">
        <f t="shared" si="463"/>
        <v>연마지#120매</v>
      </c>
      <c r="I387" s="451" t="str">
        <f t="shared" si="464"/>
        <v>연마지#120매</v>
      </c>
      <c r="J387" s="506">
        <f>IF(OR($F387="인",$F387=""),"",VLOOKUP($H387,단가!$A:$S,19,FALSE))</f>
        <v>200</v>
      </c>
      <c r="K387" s="507">
        <f t="shared" si="451"/>
        <v>10</v>
      </c>
      <c r="L387" s="506" t="str">
        <f>IF($F387="인",VLOOKUP($C:$C,노임!$C:$G,4,FALSE),"")</f>
        <v/>
      </c>
      <c r="M387" s="507" t="str">
        <f t="shared" si="452"/>
        <v/>
      </c>
      <c r="N387" s="507"/>
      <c r="O387" s="507" t="str">
        <f t="shared" si="465"/>
        <v/>
      </c>
      <c r="P387" s="508"/>
      <c r="Q387" s="509" t="str">
        <f>IF(F387="인","노임"&amp;VLOOKUP($C:$C,노임!C:G,5,FALSE)&amp;"번","단가"&amp;VLOOKUP($H:$H,단가!$A:$B,2,FALSE)&amp;"번")</f>
        <v>단가57번</v>
      </c>
      <c r="R387" s="510"/>
      <c r="S387" s="131"/>
      <c r="T387" s="470" t="str">
        <f t="shared" si="441"/>
        <v>단가57번</v>
      </c>
      <c r="V387" s="549"/>
      <c r="W387" s="471" t="str">
        <f t="shared" ref="W387:X387" si="469">W386</f>
        <v>도장공인</v>
      </c>
      <c r="X387" s="471" t="e">
        <f t="shared" si="469"/>
        <v>#REF!</v>
      </c>
      <c r="Y387" s="471" t="e">
        <f t="shared" si="443"/>
        <v>#REF!</v>
      </c>
      <c r="Z387" s="471"/>
      <c r="AA387" s="471"/>
    </row>
    <row r="388" spans="1:40" s="470" customFormat="1" ht="15.75" customHeight="1" x14ac:dyDescent="0.15">
      <c r="B388" s="514"/>
      <c r="C388" s="543" t="s">
        <v>817</v>
      </c>
      <c r="D388" s="516"/>
      <c r="E388" s="517"/>
      <c r="F388" s="518" t="s">
        <v>750</v>
      </c>
      <c r="G388" s="829">
        <f>TRUNC(0.067*0.1,4)</f>
        <v>6.7000000000000002E-3</v>
      </c>
      <c r="H388" s="463" t="str">
        <f t="shared" si="463"/>
        <v>도장공인</v>
      </c>
      <c r="I388" s="451" t="str">
        <f t="shared" si="464"/>
        <v>도장공인</v>
      </c>
      <c r="J388" s="506" t="str">
        <f>IF(OR($F388="인",$F388=""),"",VLOOKUP($H388,단가!$A:$S,19,FALSE))</f>
        <v/>
      </c>
      <c r="K388" s="507" t="str">
        <f t="shared" si="451"/>
        <v/>
      </c>
      <c r="L388" s="506">
        <f>IF($F388="인",VLOOKUP($C:$C,노임!$C:$G,4,FALSE),"")</f>
        <v>148659</v>
      </c>
      <c r="M388" s="507">
        <f t="shared" si="452"/>
        <v>996</v>
      </c>
      <c r="N388" s="507"/>
      <c r="O388" s="507" t="str">
        <f t="shared" si="465"/>
        <v/>
      </c>
      <c r="P388" s="508"/>
      <c r="Q388" s="509" t="str">
        <f>IF(F388="인","노임"&amp;VLOOKUP($C:$C,노임!C:G,5,FALSE)&amp;"번","단가"&amp;VLOOKUP($H:$H,단가!$A:$B,2,FALSE)&amp;"번")</f>
        <v>노임1029번</v>
      </c>
      <c r="R388" s="510"/>
      <c r="S388" s="131"/>
      <c r="T388" s="470" t="str">
        <f t="shared" si="441"/>
        <v>노임1029번</v>
      </c>
      <c r="V388" s="551"/>
      <c r="W388" s="471" t="str">
        <f t="shared" ref="W388:X388" si="470">W387</f>
        <v>도장공인</v>
      </c>
      <c r="X388" s="471" t="e">
        <f t="shared" si="470"/>
        <v>#REF!</v>
      </c>
      <c r="Y388" s="471" t="e">
        <f t="shared" si="443"/>
        <v>#REF!</v>
      </c>
      <c r="Z388" s="471"/>
      <c r="AA388" s="471"/>
    </row>
    <row r="389" spans="1:40" s="470" customFormat="1" ht="15.75" customHeight="1" x14ac:dyDescent="0.15">
      <c r="A389" s="457"/>
      <c r="B389" s="514"/>
      <c r="C389" s="543" t="s">
        <v>767</v>
      </c>
      <c r="D389" s="516"/>
      <c r="E389" s="517"/>
      <c r="F389" s="518" t="s">
        <v>750</v>
      </c>
      <c r="G389" s="829">
        <f>TRUNC(0.011*0.1,4)</f>
        <v>1.1000000000000001E-3</v>
      </c>
      <c r="H389" s="463" t="str">
        <f t="shared" si="463"/>
        <v>보통인부인</v>
      </c>
      <c r="I389" s="451" t="str">
        <f t="shared" si="464"/>
        <v>보통인부인</v>
      </c>
      <c r="J389" s="506" t="str">
        <f>IF(OR($F389="인",$F389=""),"",VLOOKUP($H389,단가!$A:$S,19,FALSE))</f>
        <v/>
      </c>
      <c r="K389" s="507" t="str">
        <f t="shared" si="451"/>
        <v/>
      </c>
      <c r="L389" s="506">
        <f>IF($F389="인",VLOOKUP($C:$C,노임!$C:$G,4,FALSE),"")</f>
        <v>106846</v>
      </c>
      <c r="M389" s="507">
        <f t="shared" si="452"/>
        <v>117</v>
      </c>
      <c r="N389" s="507"/>
      <c r="O389" s="507" t="str">
        <f t="shared" si="465"/>
        <v/>
      </c>
      <c r="P389" s="508"/>
      <c r="Q389" s="509" t="str">
        <f>IF(F389="인","노임"&amp;VLOOKUP($C:$C,노임!C:G,5,FALSE)&amp;"번","단가"&amp;VLOOKUP($H:$H,단가!$A:$B,2,FALSE)&amp;"번")</f>
        <v>노임1002번</v>
      </c>
      <c r="R389" s="510"/>
      <c r="S389" s="131"/>
      <c r="T389" s="470" t="str">
        <f t="shared" si="441"/>
        <v>노임1002번</v>
      </c>
      <c r="W389" s="615" t="str">
        <f t="shared" ref="W389:X389" si="471">W388</f>
        <v>도장공인</v>
      </c>
      <c r="X389" s="471" t="e">
        <f t="shared" si="471"/>
        <v>#REF!</v>
      </c>
      <c r="Y389" s="471" t="e">
        <f t="shared" si="443"/>
        <v>#REF!</v>
      </c>
      <c r="Z389" s="471"/>
      <c r="AA389" s="471"/>
    </row>
    <row r="390" spans="1:40" s="457" customFormat="1" ht="15.75" customHeight="1" x14ac:dyDescent="0.15">
      <c r="B390" s="514" t="s">
        <v>751</v>
      </c>
      <c r="C390" s="545"/>
      <c r="D390" s="95"/>
      <c r="E390" s="141"/>
      <c r="F390" s="94"/>
      <c r="G390" s="505"/>
      <c r="H390" s="463" t="str">
        <f t="shared" si="463"/>
        <v/>
      </c>
      <c r="I390" s="451">
        <f>목록!$B$20</f>
        <v>15</v>
      </c>
      <c r="J390" s="506"/>
      <c r="K390" s="507">
        <f>SUM(K374:K389)</f>
        <v>964</v>
      </c>
      <c r="L390" s="506"/>
      <c r="M390" s="507">
        <f>SUM(M374:M389)</f>
        <v>4848</v>
      </c>
      <c r="N390" s="507"/>
      <c r="O390" s="507">
        <f>SUM(O374:O389)</f>
        <v>0</v>
      </c>
      <c r="P390" s="508"/>
      <c r="Q390" s="512"/>
      <c r="R390" s="513"/>
      <c r="S390" s="131"/>
      <c r="T390" s="470" t="str">
        <f t="shared" si="441"/>
        <v/>
      </c>
      <c r="V390" s="551"/>
      <c r="W390" s="471" t="str">
        <f t="shared" ref="W390:X390" si="472">W389</f>
        <v>도장공인</v>
      </c>
      <c r="X390" s="471" t="e">
        <f t="shared" si="472"/>
        <v>#REF!</v>
      </c>
      <c r="Y390" s="471" t="e">
        <f t="shared" si="443"/>
        <v>#REF!</v>
      </c>
      <c r="Z390" s="471"/>
      <c r="AA390" s="471"/>
    </row>
    <row r="391" spans="1:40" s="470" customFormat="1" ht="15.75" customHeight="1" x14ac:dyDescent="0.15">
      <c r="B391" s="453"/>
      <c r="C391" s="209" t="s">
        <v>1015</v>
      </c>
      <c r="D391" s="95"/>
      <c r="E391" s="141"/>
      <c r="F391" s="94"/>
      <c r="G391" s="505"/>
      <c r="H391" s="463" t="str">
        <f>CONCATENATE(C391,E391,F391)</f>
        <v>※ 건축표준품셈 : 11-3-2 걸레받이, 17-1 바탕만들기 2.석고보드면 준용, 17-9 걸레받이용  페인트</v>
      </c>
      <c r="I391" s="451"/>
      <c r="J391" s="506"/>
      <c r="K391" s="507"/>
      <c r="L391" s="506"/>
      <c r="M391" s="507"/>
      <c r="N391" s="507"/>
      <c r="O391" s="507"/>
      <c r="P391" s="508"/>
      <c r="Q391" s="512"/>
      <c r="R391" s="513"/>
      <c r="S391" s="131"/>
      <c r="T391" s="470" t="str">
        <f t="shared" si="441"/>
        <v/>
      </c>
      <c r="V391" s="551"/>
      <c r="W391" s="471" t="str">
        <f t="shared" ref="W391:X391" si="473">W390</f>
        <v>도장공인</v>
      </c>
      <c r="X391" s="471" t="e">
        <f t="shared" si="473"/>
        <v>#REF!</v>
      </c>
      <c r="Y391" s="471" t="e">
        <f t="shared" si="443"/>
        <v>#REF!</v>
      </c>
      <c r="Z391" s="471"/>
      <c r="AA391" s="471"/>
    </row>
    <row r="392" spans="1:40" s="470" customFormat="1" ht="15.75" customHeight="1" x14ac:dyDescent="0.15">
      <c r="A392" s="457"/>
      <c r="B392" s="457"/>
      <c r="C392" s="458"/>
      <c r="D392" s="459"/>
      <c r="E392" s="460"/>
      <c r="F392" s="461"/>
      <c r="G392" s="553"/>
      <c r="H392" s="463" t="str">
        <f t="shared" ref="H392:H417" si="474">CONCATENATE(C392,E392,F392)</f>
        <v/>
      </c>
      <c r="I392" s="464"/>
      <c r="J392" s="465"/>
      <c r="K392" s="465"/>
      <c r="L392" s="465"/>
      <c r="M392" s="465"/>
      <c r="N392" s="465"/>
      <c r="O392" s="487"/>
      <c r="P392" s="467"/>
      <c r="Q392" s="468"/>
      <c r="R392" s="469"/>
      <c r="S392" s="467"/>
      <c r="T392" s="470" t="str">
        <f t="shared" ref="T392:T395" si="475">CONCATENATE(Q392,R392)</f>
        <v/>
      </c>
      <c r="W392" s="533">
        <f t="shared" ref="W392" si="476">I414</f>
        <v>16</v>
      </c>
      <c r="X392" s="533" t="e">
        <f>#REF!+1</f>
        <v>#REF!</v>
      </c>
      <c r="Y392" s="533" t="e">
        <f t="shared" si="443"/>
        <v>#REF!</v>
      </c>
      <c r="Z392" s="533"/>
      <c r="AA392" s="533"/>
    </row>
    <row r="393" spans="1:40" s="470" customFormat="1" ht="15.75" customHeight="1" x14ac:dyDescent="0.15">
      <c r="A393" s="457"/>
      <c r="B393" s="473"/>
      <c r="C393" s="474" t="str">
        <f>"   항목번호 : "&amp;목록!L$21</f>
        <v xml:space="preserve">   항목번호 : 제16호표</v>
      </c>
      <c r="D393" s="475">
        <f>목록!B$21</f>
        <v>16</v>
      </c>
      <c r="E393" s="476"/>
      <c r="F393" s="477"/>
      <c r="G393" s="554"/>
      <c r="H393" s="463" t="str">
        <f t="shared" si="474"/>
        <v xml:space="preserve">   항목번호 : 제16호표</v>
      </c>
      <c r="I393" s="479"/>
      <c r="J393" s="480"/>
      <c r="K393" s="481"/>
      <c r="L393" s="482"/>
      <c r="M393" s="482"/>
      <c r="N393" s="482"/>
      <c r="O393" s="487"/>
      <c r="P393" s="483"/>
      <c r="Q393" s="484"/>
      <c r="R393" s="485"/>
      <c r="S393" s="483"/>
      <c r="T393" s="470" t="str">
        <f t="shared" si="475"/>
        <v/>
      </c>
      <c r="U393" s="457"/>
      <c r="V393" s="551"/>
      <c r="W393" s="471">
        <f t="shared" ref="W393:X393" si="477">W392</f>
        <v>16</v>
      </c>
      <c r="X393" s="471" t="e">
        <f t="shared" si="477"/>
        <v>#REF!</v>
      </c>
      <c r="Y393" s="471" t="e">
        <f t="shared" si="443"/>
        <v>#REF!</v>
      </c>
      <c r="Z393" s="471"/>
      <c r="AA393" s="471"/>
      <c r="AB393" s="457"/>
      <c r="AC393" s="457"/>
      <c r="AD393" s="457"/>
      <c r="AE393" s="457"/>
      <c r="AF393" s="457"/>
      <c r="AG393" s="457"/>
      <c r="AH393" s="457"/>
      <c r="AI393" s="457"/>
      <c r="AJ393" s="457"/>
      <c r="AK393" s="457"/>
      <c r="AL393" s="457"/>
      <c r="AM393" s="457"/>
      <c r="AN393" s="457"/>
    </row>
    <row r="394" spans="1:40" s="457" customFormat="1" ht="15.75" customHeight="1" x14ac:dyDescent="0.15">
      <c r="B394" s="473"/>
      <c r="C394" s="474" t="str">
        <f>"   공      종 : "&amp;목록!D$21</f>
        <v xml:space="preserve">   공      종 : 잡철물제작설치</v>
      </c>
      <c r="D394" s="484"/>
      <c r="E394" s="476"/>
      <c r="F394" s="473"/>
      <c r="G394" s="554"/>
      <c r="H394" s="463" t="str">
        <f t="shared" si="474"/>
        <v xml:space="preserve">   공      종 : 잡철물제작설치</v>
      </c>
      <c r="I394" s="479"/>
      <c r="J394" s="480"/>
      <c r="K394" s="481"/>
      <c r="L394" s="482"/>
      <c r="M394" s="482"/>
      <c r="N394" s="482"/>
      <c r="O394" s="487"/>
      <c r="P394" s="483"/>
      <c r="Q394" s="484"/>
      <c r="R394" s="485"/>
      <c r="S394" s="483"/>
      <c r="T394" s="470" t="str">
        <f t="shared" si="475"/>
        <v/>
      </c>
      <c r="V394" s="470"/>
      <c r="W394" s="471">
        <f t="shared" ref="W394:X394" si="478">W393</f>
        <v>16</v>
      </c>
      <c r="X394" s="471" t="e">
        <f t="shared" si="478"/>
        <v>#REF!</v>
      </c>
      <c r="Y394" s="471" t="e">
        <f t="shared" si="443"/>
        <v>#REF!</v>
      </c>
      <c r="Z394" s="471"/>
      <c r="AA394" s="471"/>
    </row>
    <row r="395" spans="1:40" s="457" customFormat="1" ht="15.75" customHeight="1" x14ac:dyDescent="0.15">
      <c r="B395" s="473"/>
      <c r="C395" s="474" t="str">
        <f xml:space="preserve"> "   규      격 : "&amp;목록!F$21</f>
        <v xml:space="preserve">   규      격 : 간단기준</v>
      </c>
      <c r="D395" s="484"/>
      <c r="E395" s="476"/>
      <c r="F395" s="473"/>
      <c r="G395" s="554"/>
      <c r="H395" s="463" t="str">
        <f t="shared" si="474"/>
        <v xml:space="preserve">   규      격 : 간단기준</v>
      </c>
      <c r="I395" s="479"/>
      <c r="J395" s="480" t="s">
        <v>348</v>
      </c>
      <c r="K395" s="481"/>
      <c r="L395" s="482" t="s">
        <v>349</v>
      </c>
      <c r="M395" s="482"/>
      <c r="N395" s="482" t="s">
        <v>240</v>
      </c>
      <c r="O395" s="487"/>
      <c r="P395" s="483"/>
      <c r="Q395" s="484" t="s">
        <v>798</v>
      </c>
      <c r="R395" s="484"/>
      <c r="S395" s="483"/>
      <c r="T395" s="470" t="str">
        <f t="shared" si="475"/>
        <v>합계</v>
      </c>
      <c r="V395" s="547"/>
      <c r="W395" s="471">
        <f t="shared" ref="W395:X395" si="479">W394</f>
        <v>16</v>
      </c>
      <c r="X395" s="471" t="e">
        <f t="shared" si="479"/>
        <v>#REF!</v>
      </c>
      <c r="Y395" s="471" t="e">
        <f t="shared" si="443"/>
        <v>#REF!</v>
      </c>
      <c r="Z395" s="471"/>
      <c r="AA395" s="471"/>
    </row>
    <row r="396" spans="1:40" s="457" customFormat="1" ht="15.75" customHeight="1" x14ac:dyDescent="0.15">
      <c r="B396" s="473"/>
      <c r="C396" s="474" t="str">
        <f>"   단      위 : "&amp;목록!G$21</f>
        <v xml:space="preserve">   단      위 : Kg</v>
      </c>
      <c r="D396" s="484"/>
      <c r="E396" s="476"/>
      <c r="F396" s="473"/>
      <c r="G396" s="554"/>
      <c r="H396" s="463" t="str">
        <f t="shared" si="474"/>
        <v xml:space="preserve">   단      위 : Kg</v>
      </c>
      <c r="I396" s="479"/>
      <c r="J396" s="486">
        <f>K414</f>
        <v>239</v>
      </c>
      <c r="K396" s="481"/>
      <c r="L396" s="487">
        <f>M414</f>
        <v>5079</v>
      </c>
      <c r="M396" s="482"/>
      <c r="N396" s="482">
        <f>O414</f>
        <v>13</v>
      </c>
      <c r="O396" s="487"/>
      <c r="P396" s="483"/>
      <c r="Q396" s="488">
        <f>J396+L396+N396</f>
        <v>5331</v>
      </c>
      <c r="R396" s="489"/>
      <c r="S396" s="483"/>
      <c r="T396" s="470" t="str">
        <f t="shared" ref="T396:T443" si="480">CONCATENATE(Q396,R396)</f>
        <v>5331</v>
      </c>
      <c r="V396" s="547"/>
      <c r="W396" s="471">
        <f t="shared" ref="W396:X396" si="481">W395</f>
        <v>16</v>
      </c>
      <c r="X396" s="471" t="e">
        <f t="shared" si="481"/>
        <v>#REF!</v>
      </c>
      <c r="Y396" s="471" t="e">
        <f t="shared" si="443"/>
        <v>#REF!</v>
      </c>
      <c r="Z396" s="471"/>
      <c r="AA396" s="471"/>
    </row>
    <row r="397" spans="1:40" s="457" customFormat="1" ht="15.75" customHeight="1" x14ac:dyDescent="0.15">
      <c r="B397" s="473"/>
      <c r="C397" s="474"/>
      <c r="D397" s="484"/>
      <c r="E397" s="476"/>
      <c r="F397" s="473"/>
      <c r="G397" s="555"/>
      <c r="H397" s="463" t="str">
        <f t="shared" si="474"/>
        <v/>
      </c>
      <c r="I397" s="491"/>
      <c r="J397" s="482"/>
      <c r="K397" s="465"/>
      <c r="L397" s="482"/>
      <c r="M397" s="482"/>
      <c r="N397" s="482"/>
      <c r="O397" s="487"/>
      <c r="P397" s="492"/>
      <c r="Q397" s="493"/>
      <c r="R397" s="485"/>
      <c r="S397" s="492"/>
      <c r="T397" s="470" t="str">
        <f t="shared" si="480"/>
        <v/>
      </c>
      <c r="V397" s="547"/>
      <c r="W397" s="471">
        <f t="shared" ref="W397:X397" si="482">W396</f>
        <v>16</v>
      </c>
      <c r="X397" s="471" t="e">
        <f t="shared" si="482"/>
        <v>#REF!</v>
      </c>
      <c r="Y397" s="471" t="e">
        <f t="shared" si="443"/>
        <v>#REF!</v>
      </c>
      <c r="Z397" s="471"/>
      <c r="AA397" s="471"/>
    </row>
    <row r="398" spans="1:40" s="457" customFormat="1" ht="15.75" customHeight="1" x14ac:dyDescent="0.15">
      <c r="B398" s="899" t="s">
        <v>375</v>
      </c>
      <c r="C398" s="900"/>
      <c r="D398" s="907" t="s">
        <v>356</v>
      </c>
      <c r="E398" s="908"/>
      <c r="F398" s="903" t="s">
        <v>780</v>
      </c>
      <c r="G398" s="913" t="s">
        <v>781</v>
      </c>
      <c r="H398" s="463" t="str">
        <f t="shared" si="474"/>
        <v>단위</v>
      </c>
      <c r="I398" s="494"/>
      <c r="J398" s="495" t="s">
        <v>348</v>
      </c>
      <c r="K398" s="496"/>
      <c r="L398" s="495" t="s">
        <v>349</v>
      </c>
      <c r="M398" s="496"/>
      <c r="N398" s="497" t="s">
        <v>240</v>
      </c>
      <c r="O398" s="497"/>
      <c r="P398" s="498"/>
      <c r="Q398" s="558" t="s">
        <v>355</v>
      </c>
      <c r="R398" s="558"/>
      <c r="S398" s="499"/>
      <c r="T398" s="470" t="str">
        <f t="shared" si="480"/>
        <v>비  고</v>
      </c>
      <c r="V398" s="547"/>
      <c r="W398" s="471">
        <f t="shared" ref="W398:X398" si="483">W397</f>
        <v>16</v>
      </c>
      <c r="X398" s="471" t="e">
        <f t="shared" si="483"/>
        <v>#REF!</v>
      </c>
      <c r="Y398" s="471" t="e">
        <f t="shared" si="443"/>
        <v>#REF!</v>
      </c>
      <c r="Z398" s="471"/>
      <c r="AA398" s="471"/>
    </row>
    <row r="399" spans="1:40" s="457" customFormat="1" ht="15.75" customHeight="1" x14ac:dyDescent="0.15">
      <c r="A399" s="547"/>
      <c r="B399" s="901"/>
      <c r="C399" s="902"/>
      <c r="D399" s="909"/>
      <c r="E399" s="910"/>
      <c r="F399" s="904"/>
      <c r="G399" s="914"/>
      <c r="H399" s="463" t="str">
        <f t="shared" si="474"/>
        <v/>
      </c>
      <c r="I399" s="500"/>
      <c r="J399" s="501" t="s">
        <v>353</v>
      </c>
      <c r="K399" s="501" t="s">
        <v>354</v>
      </c>
      <c r="L399" s="501" t="s">
        <v>353</v>
      </c>
      <c r="M399" s="502" t="s">
        <v>354</v>
      </c>
      <c r="N399" s="501" t="s">
        <v>353</v>
      </c>
      <c r="O399" s="501" t="s">
        <v>354</v>
      </c>
      <c r="P399" s="503"/>
      <c r="Q399" s="559"/>
      <c r="R399" s="559"/>
      <c r="S399" s="504"/>
      <c r="T399" s="470" t="str">
        <f t="shared" si="480"/>
        <v/>
      </c>
      <c r="V399" s="547"/>
      <c r="W399" s="471">
        <f t="shared" ref="W399:X399" si="484">W398</f>
        <v>16</v>
      </c>
      <c r="X399" s="471" t="e">
        <f t="shared" si="484"/>
        <v>#REF!</v>
      </c>
      <c r="Y399" s="471" t="e">
        <f t="shared" ref="Y399:Y443" si="485">X399-W399</f>
        <v>#REF!</v>
      </c>
      <c r="Z399" s="471"/>
      <c r="AA399" s="471"/>
    </row>
    <row r="400" spans="1:40" s="457" customFormat="1" ht="15.75" customHeight="1" x14ac:dyDescent="0.15">
      <c r="A400" s="547"/>
      <c r="B400" s="95"/>
      <c r="C400" s="140" t="s">
        <v>837</v>
      </c>
      <c r="D400" s="95"/>
      <c r="E400" s="206" t="s">
        <v>838</v>
      </c>
      <c r="F400" s="94" t="s">
        <v>800</v>
      </c>
      <c r="G400" s="505">
        <f>TRUNC(15.71+2.77,4)</f>
        <v>18.48</v>
      </c>
      <c r="H400" s="463" t="str">
        <f t="shared" si="474"/>
        <v>용접봉3.2mm, CR-13Kg</v>
      </c>
      <c r="I400" s="451" t="str">
        <f>CONCATENATE(C400,E400,F400)</f>
        <v>용접봉3.2mm, CR-13Kg</v>
      </c>
      <c r="J400" s="506">
        <f>IF(OR($F400="인",$F400=""),"",VLOOKUP($H400,단가!$A:$S,19,FALSE))</f>
        <v>2784</v>
      </c>
      <c r="K400" s="507">
        <f t="shared" ref="K400:K409" si="486">IF(J400="","",TRUNC($G400*J400,0))</f>
        <v>51448</v>
      </c>
      <c r="L400" s="506" t="str">
        <f>IF($F400="인",VLOOKUP($C:$C,노임!$C:$G,4,FALSE),"")</f>
        <v/>
      </c>
      <c r="M400" s="507" t="str">
        <f t="shared" ref="M400:M409" si="487">IF(L400="","",TRUNC($G400*L400,0))</f>
        <v/>
      </c>
      <c r="N400" s="507"/>
      <c r="O400" s="507" t="str">
        <f t="shared" ref="O400:O409" si="488">IF(N400="","",TRUNC($G400*N400,0))</f>
        <v/>
      </c>
      <c r="P400" s="508"/>
      <c r="Q400" s="509" t="str">
        <f>IF(F400="인","노임"&amp;VLOOKUP($C:$C,노임!C:G,5,FALSE)&amp;"번","단가"&amp;VLOOKUP($H:$H,단가!$A:$B,2,FALSE)&amp;"번")</f>
        <v>단가55번</v>
      </c>
      <c r="R400" s="510"/>
      <c r="S400" s="131"/>
      <c r="T400" s="470" t="str">
        <f t="shared" si="480"/>
        <v>단가55번</v>
      </c>
      <c r="V400" s="548"/>
      <c r="W400" s="471">
        <f t="shared" ref="W400:X400" si="489">W399</f>
        <v>16</v>
      </c>
      <c r="X400" s="471" t="e">
        <f t="shared" si="489"/>
        <v>#REF!</v>
      </c>
      <c r="Y400" s="471" t="e">
        <f t="shared" si="485"/>
        <v>#REF!</v>
      </c>
      <c r="Z400" s="471"/>
      <c r="AA400" s="471"/>
    </row>
    <row r="401" spans="1:40" s="457" customFormat="1" ht="15.75" customHeight="1" x14ac:dyDescent="0.15">
      <c r="A401" s="470"/>
      <c r="B401" s="95"/>
      <c r="C401" s="140" t="s">
        <v>839</v>
      </c>
      <c r="D401" s="95"/>
      <c r="E401" s="141">
        <v>0.999</v>
      </c>
      <c r="F401" s="94" t="s">
        <v>840</v>
      </c>
      <c r="G401" s="556">
        <f>TRUNC(5355+945,4)</f>
        <v>6300</v>
      </c>
      <c r="H401" s="463" t="str">
        <f t="shared" si="474"/>
        <v>산소0.999ℓ</v>
      </c>
      <c r="I401" s="451" t="str">
        <f>CONCATENATE(C401,E401,F401)</f>
        <v>산소0.999ℓ</v>
      </c>
      <c r="J401" s="506">
        <f>IF(OR($F401="인",$F401=""),"",VLOOKUP($H401,단가!$A:$S,19,FALSE))</f>
        <v>1</v>
      </c>
      <c r="K401" s="507">
        <f t="shared" si="486"/>
        <v>6300</v>
      </c>
      <c r="L401" s="506" t="str">
        <f>IF($F401="인",VLOOKUP($C:$C,노임!$C:$G,4,FALSE),"")</f>
        <v/>
      </c>
      <c r="M401" s="507" t="str">
        <f t="shared" si="487"/>
        <v/>
      </c>
      <c r="N401" s="507"/>
      <c r="O401" s="507" t="str">
        <f t="shared" si="488"/>
        <v/>
      </c>
      <c r="P401" s="508"/>
      <c r="Q401" s="509" t="str">
        <f>IF(F401="인","노임"&amp;VLOOKUP($C:$C,노임!C:G,5,FALSE)&amp;"번","단가"&amp;VLOOKUP($H:$H,단가!$A:$B,2,FALSE)&amp;"번")</f>
        <v>단가60번</v>
      </c>
      <c r="R401" s="510"/>
      <c r="S401" s="131"/>
      <c r="T401" s="470" t="str">
        <f t="shared" si="480"/>
        <v>단가60번</v>
      </c>
      <c r="V401" s="548"/>
      <c r="W401" s="471">
        <f t="shared" ref="W401:X401" si="490">W400</f>
        <v>16</v>
      </c>
      <c r="X401" s="471" t="e">
        <f t="shared" si="490"/>
        <v>#REF!</v>
      </c>
      <c r="Y401" s="471" t="e">
        <f t="shared" si="485"/>
        <v>#REF!</v>
      </c>
      <c r="Z401" s="471"/>
      <c r="AA401" s="471"/>
    </row>
    <row r="402" spans="1:40" s="457" customFormat="1" ht="15.75" customHeight="1" x14ac:dyDescent="0.15">
      <c r="A402" s="470"/>
      <c r="B402" s="95"/>
      <c r="C402" s="140" t="s">
        <v>841</v>
      </c>
      <c r="D402" s="95"/>
      <c r="E402" s="141">
        <v>0.98</v>
      </c>
      <c r="F402" s="94" t="s">
        <v>800</v>
      </c>
      <c r="G402" s="505">
        <f>TRUNC(2.4+0.4,4)</f>
        <v>2.8</v>
      </c>
      <c r="H402" s="463" t="str">
        <f t="shared" si="474"/>
        <v>아세틸렌0.98Kg</v>
      </c>
      <c r="I402" s="451" t="str">
        <f>CONCATENATE(C402,E402,F402)</f>
        <v>아세틸렌0.98Kg</v>
      </c>
      <c r="J402" s="506">
        <f>IF(OR($F402="인",$F402=""),"",VLOOKUP($H402,단가!$A:$S,19,FALSE))</f>
        <v>10450</v>
      </c>
      <c r="K402" s="507">
        <f t="shared" si="486"/>
        <v>29260</v>
      </c>
      <c r="L402" s="506" t="str">
        <f>IF($F402="인",VLOOKUP($C:$C,노임!$C:$G,4,FALSE),"")</f>
        <v/>
      </c>
      <c r="M402" s="507" t="str">
        <f t="shared" si="487"/>
        <v/>
      </c>
      <c r="N402" s="507"/>
      <c r="O402" s="507" t="str">
        <f t="shared" si="488"/>
        <v/>
      </c>
      <c r="P402" s="508"/>
      <c r="Q402" s="509" t="str">
        <f>IF(F402="인","노임"&amp;VLOOKUP($C:$C,노임!C:G,5,FALSE)&amp;"번","단가"&amp;VLOOKUP($H:$H,단가!$A:$B,2,FALSE)&amp;"번")</f>
        <v>단가61번</v>
      </c>
      <c r="R402" s="510"/>
      <c r="S402" s="131"/>
      <c r="T402" s="470" t="str">
        <f t="shared" si="480"/>
        <v>단가61번</v>
      </c>
      <c r="V402" s="549"/>
      <c r="W402" s="471">
        <f t="shared" ref="W402:X402" si="491">W401</f>
        <v>16</v>
      </c>
      <c r="X402" s="471" t="e">
        <f t="shared" si="491"/>
        <v>#REF!</v>
      </c>
      <c r="Y402" s="471" t="e">
        <f t="shared" si="485"/>
        <v>#REF!</v>
      </c>
      <c r="Z402" s="471"/>
      <c r="AA402" s="471"/>
      <c r="AB402" s="470"/>
    </row>
    <row r="403" spans="1:40" s="457" customFormat="1" ht="15.75" customHeight="1" x14ac:dyDescent="0.15">
      <c r="A403" s="470"/>
      <c r="B403" s="95"/>
      <c r="C403" s="140" t="s">
        <v>842</v>
      </c>
      <c r="D403" s="95"/>
      <c r="E403" s="141"/>
      <c r="F403" s="94" t="s">
        <v>843</v>
      </c>
      <c r="G403" s="505">
        <f>TRUNC(107.1+18.9,4)</f>
        <v>126</v>
      </c>
      <c r="H403" s="463" t="str">
        <f t="shared" si="474"/>
        <v>전력KWH</v>
      </c>
      <c r="I403" s="451"/>
      <c r="J403" s="506"/>
      <c r="K403" s="507" t="str">
        <f t="shared" si="486"/>
        <v/>
      </c>
      <c r="L403" s="506" t="str">
        <f>IF($F403="인",VLOOKUP($C:$C,노임!$C:$G,4,FALSE),"")</f>
        <v/>
      </c>
      <c r="M403" s="507" t="str">
        <f t="shared" si="487"/>
        <v/>
      </c>
      <c r="N403" s="506">
        <f>IF(OR($F403="인",$F403=""),"",VLOOKUP($H403,단가!$A:$S,19,FALSE))</f>
        <v>87</v>
      </c>
      <c r="O403" s="507">
        <f t="shared" si="488"/>
        <v>10962</v>
      </c>
      <c r="P403" s="508"/>
      <c r="Q403" s="509" t="str">
        <f>IF(F403="인","노임"&amp;VLOOKUP($C:$C,노임!C:G,5,FALSE)&amp;"번","단가"&amp;VLOOKUP($H:$H,단가!$A:$B,2,FALSE)&amp;"번")</f>
        <v>단가68번</v>
      </c>
      <c r="R403" s="513"/>
      <c r="S403" s="131"/>
      <c r="T403" s="470" t="str">
        <f t="shared" si="480"/>
        <v>단가68번</v>
      </c>
      <c r="U403" s="470"/>
      <c r="V403" s="549"/>
      <c r="W403" s="471">
        <f t="shared" ref="W403:X403" si="492">W402</f>
        <v>16</v>
      </c>
      <c r="X403" s="471" t="e">
        <f t="shared" si="492"/>
        <v>#REF!</v>
      </c>
      <c r="Y403" s="471" t="e">
        <f t="shared" si="485"/>
        <v>#REF!</v>
      </c>
      <c r="Z403" s="471"/>
      <c r="AA403" s="471"/>
      <c r="AB403" s="470"/>
      <c r="AC403" s="470"/>
      <c r="AD403" s="470"/>
      <c r="AE403" s="470"/>
      <c r="AF403" s="470"/>
      <c r="AG403" s="470"/>
      <c r="AH403" s="470"/>
      <c r="AI403" s="470"/>
      <c r="AJ403" s="470"/>
      <c r="AK403" s="470"/>
      <c r="AL403" s="470"/>
      <c r="AM403" s="470"/>
      <c r="AN403" s="470"/>
    </row>
    <row r="404" spans="1:40" s="470" customFormat="1" ht="15.75" customHeight="1" x14ac:dyDescent="0.15">
      <c r="B404" s="95"/>
      <c r="C404" s="140" t="s">
        <v>844</v>
      </c>
      <c r="D404" s="95"/>
      <c r="E404" s="141" t="s">
        <v>845</v>
      </c>
      <c r="F404" s="94" t="s">
        <v>799</v>
      </c>
      <c r="G404" s="505">
        <f>TRUNC(17.71+3.12,4)</f>
        <v>20.83</v>
      </c>
      <c r="H404" s="463" t="str">
        <f t="shared" ref="H404:H409" si="493">CONCATENATE(C404,E404,F404)</f>
        <v>용접기교류 500AMPHR</v>
      </c>
      <c r="I404" s="451" t="str">
        <f>CONCATENATE(C404,E404,F404)</f>
        <v>용접기교류 500AMPHR</v>
      </c>
      <c r="J404" s="506"/>
      <c r="K404" s="507" t="str">
        <f t="shared" si="486"/>
        <v/>
      </c>
      <c r="L404" s="506" t="str">
        <f>IF($F404="인",VLOOKUP($C:$C,노임!$C:$G,4,FALSE),"")</f>
        <v/>
      </c>
      <c r="M404" s="507" t="str">
        <f t="shared" si="487"/>
        <v/>
      </c>
      <c r="N404" s="506">
        <f>IF(OR($F404="인",$F404=""),"",VLOOKUP($H404,단가!$A:$S,19,FALSE))</f>
        <v>124</v>
      </c>
      <c r="O404" s="507">
        <f t="shared" si="488"/>
        <v>2582</v>
      </c>
      <c r="P404" s="508"/>
      <c r="Q404" s="509" t="str">
        <f>IF(F404="인","노임"&amp;VLOOKUP($C:$C,노임!C:G,5,FALSE)&amp;"번","단가"&amp;VLOOKUP($H:$H,단가!$A:$B,2,FALSE)&amp;"번")</f>
        <v>단가70번</v>
      </c>
      <c r="R404" s="510"/>
      <c r="S404" s="131"/>
      <c r="T404" s="470" t="str">
        <f t="shared" si="480"/>
        <v>단가70번</v>
      </c>
      <c r="V404" s="549"/>
      <c r="W404" s="471">
        <f t="shared" ref="W404:X404" si="494">W403</f>
        <v>16</v>
      </c>
      <c r="X404" s="471" t="e">
        <f t="shared" si="494"/>
        <v>#REF!</v>
      </c>
      <c r="Y404" s="471" t="e">
        <f t="shared" si="485"/>
        <v>#REF!</v>
      </c>
      <c r="Z404" s="471"/>
      <c r="AA404" s="471"/>
    </row>
    <row r="405" spans="1:40" s="470" customFormat="1" ht="15.75" customHeight="1" x14ac:dyDescent="0.15">
      <c r="B405" s="95"/>
      <c r="C405" s="140" t="s">
        <v>846</v>
      </c>
      <c r="D405" s="95"/>
      <c r="E405" s="141"/>
      <c r="F405" s="94" t="s">
        <v>750</v>
      </c>
      <c r="G405" s="505">
        <f>TRUNC(21.8+5.85,4)</f>
        <v>27.65</v>
      </c>
      <c r="H405" s="463" t="str">
        <f t="shared" si="493"/>
        <v>철공인</v>
      </c>
      <c r="I405" s="451" t="str">
        <f>CONCATENATE(C405,E405,F405)</f>
        <v>철공인</v>
      </c>
      <c r="J405" s="506" t="str">
        <f>IF(OR($F405="인",$F405=""),"",VLOOKUP($H405,단가!$A:$S,19,FALSE))</f>
        <v/>
      </c>
      <c r="K405" s="507" t="str">
        <f t="shared" si="486"/>
        <v/>
      </c>
      <c r="L405" s="506">
        <f>IF($F405="인",VLOOKUP($C:$C,노임!$C:$G,4,FALSE),"")</f>
        <v>162422</v>
      </c>
      <c r="M405" s="507">
        <f t="shared" si="487"/>
        <v>4490968</v>
      </c>
      <c r="N405" s="507"/>
      <c r="O405" s="507" t="str">
        <f t="shared" si="488"/>
        <v/>
      </c>
      <c r="P405" s="508"/>
      <c r="Q405" s="509" t="str">
        <f>IF(F405="인","노임"&amp;VLOOKUP($C:$C,노임!C:G,5,FALSE)&amp;"번","단가"&amp;VLOOKUP($H:$H,단가!$A:$B,2,FALSE)&amp;"번")</f>
        <v>노임1009번</v>
      </c>
      <c r="R405" s="510"/>
      <c r="S405" s="131"/>
      <c r="T405" s="470" t="str">
        <f t="shared" si="480"/>
        <v>노임1009번</v>
      </c>
      <c r="V405" s="549"/>
      <c r="W405" s="471">
        <f t="shared" ref="W405:X405" si="495">W404</f>
        <v>16</v>
      </c>
      <c r="X405" s="471" t="e">
        <f t="shared" si="495"/>
        <v>#REF!</v>
      </c>
      <c r="Y405" s="471" t="e">
        <f t="shared" si="485"/>
        <v>#REF!</v>
      </c>
      <c r="Z405" s="471"/>
      <c r="AA405" s="471"/>
    </row>
    <row r="406" spans="1:40" s="470" customFormat="1" ht="15.75" customHeight="1" x14ac:dyDescent="0.15">
      <c r="B406" s="95"/>
      <c r="C406" s="140" t="s">
        <v>374</v>
      </c>
      <c r="D406" s="95"/>
      <c r="E406" s="141"/>
      <c r="F406" s="94" t="s">
        <v>762</v>
      </c>
      <c r="G406" s="505">
        <f>TRUNC(2.21+0.39,4)</f>
        <v>2.6</v>
      </c>
      <c r="H406" s="463" t="str">
        <f t="shared" si="493"/>
        <v>용접공인</v>
      </c>
      <c r="I406" s="451" t="str">
        <f>CONCATENATE(C406,E406,F406)</f>
        <v>용접공인</v>
      </c>
      <c r="J406" s="506" t="str">
        <f>IF(OR($F406="인",$F406=""),"",VLOOKUP($H406,단가!$A:$S,19,FALSE))</f>
        <v/>
      </c>
      <c r="K406" s="507" t="str">
        <f t="shared" si="486"/>
        <v/>
      </c>
      <c r="L406" s="506">
        <f>IF($F406="인",VLOOKUP($C:$C,노임!$C:$G,4,FALSE),"")</f>
        <v>163001</v>
      </c>
      <c r="M406" s="507">
        <f t="shared" si="487"/>
        <v>423802</v>
      </c>
      <c r="N406" s="507"/>
      <c r="O406" s="507" t="str">
        <f t="shared" si="488"/>
        <v/>
      </c>
      <c r="P406" s="508"/>
      <c r="Q406" s="509" t="str">
        <f>IF(F406="인","노임"&amp;VLOOKUP($C:$C,노임!C:G,5,FALSE)&amp;"번","단가"&amp;VLOOKUP($H:$H,단가!$A:$B,2,FALSE)&amp;"번")</f>
        <v>노임1012번</v>
      </c>
      <c r="R406" s="510"/>
      <c r="S406" s="131"/>
      <c r="T406" s="470" t="str">
        <f t="shared" si="480"/>
        <v>노임1012번</v>
      </c>
      <c r="V406" s="549"/>
      <c r="W406" s="471">
        <f t="shared" ref="W406:X406" si="496">W405</f>
        <v>16</v>
      </c>
      <c r="X406" s="471" t="e">
        <f t="shared" si="496"/>
        <v>#REF!</v>
      </c>
      <c r="Y406" s="471" t="e">
        <f t="shared" si="485"/>
        <v>#REF!</v>
      </c>
      <c r="Z406" s="471"/>
      <c r="AA406" s="471"/>
    </row>
    <row r="407" spans="1:40" s="470" customFormat="1" ht="15.75" customHeight="1" x14ac:dyDescent="0.15">
      <c r="B407" s="95"/>
      <c r="C407" s="140" t="s">
        <v>847</v>
      </c>
      <c r="D407" s="95"/>
      <c r="E407" s="141"/>
      <c r="F407" s="94" t="s">
        <v>762</v>
      </c>
      <c r="G407" s="505">
        <f>TRUNC(0.63+0.11,4)</f>
        <v>0.74</v>
      </c>
      <c r="H407" s="463" t="str">
        <f t="shared" si="493"/>
        <v>특별인부인</v>
      </c>
      <c r="I407" s="451" t="str">
        <f>CONCATENATE(C407,E407,F407)</f>
        <v>특별인부인</v>
      </c>
      <c r="J407" s="506" t="str">
        <f>IF(OR($F407="인",$F407=""),"",VLOOKUP($H407,단가!$A:$S,19,FALSE))</f>
        <v/>
      </c>
      <c r="K407" s="507" t="str">
        <f t="shared" si="486"/>
        <v/>
      </c>
      <c r="L407" s="506">
        <f>IF($F407="인",VLOOKUP($C:$C,노임!$C:$G,4,FALSE),"")</f>
        <v>127391</v>
      </c>
      <c r="M407" s="507">
        <f t="shared" si="487"/>
        <v>94269</v>
      </c>
      <c r="N407" s="507"/>
      <c r="O407" s="507" t="str">
        <f t="shared" si="488"/>
        <v/>
      </c>
      <c r="P407" s="508"/>
      <c r="Q407" s="509" t="str">
        <f>IF(F407="인","노임"&amp;VLOOKUP($C:$C,노임!C:G,5,FALSE)&amp;"번","단가"&amp;VLOOKUP($H:$H,단가!$A:$B,2,FALSE)&amp;"번")</f>
        <v>노임1003번</v>
      </c>
      <c r="R407" s="510"/>
      <c r="S407" s="131"/>
      <c r="T407" s="470" t="str">
        <f t="shared" si="480"/>
        <v>노임1003번</v>
      </c>
      <c r="V407" s="549"/>
      <c r="W407" s="471">
        <f t="shared" ref="W407:X407" si="497">W406</f>
        <v>16</v>
      </c>
      <c r="X407" s="471" t="e">
        <f t="shared" si="497"/>
        <v>#REF!</v>
      </c>
      <c r="Y407" s="471" t="e">
        <f t="shared" si="485"/>
        <v>#REF!</v>
      </c>
      <c r="Z407" s="471"/>
      <c r="AA407" s="471"/>
    </row>
    <row r="408" spans="1:40" s="470" customFormat="1" ht="15.75" customHeight="1" x14ac:dyDescent="0.15">
      <c r="B408" s="95"/>
      <c r="C408" s="140" t="s">
        <v>819</v>
      </c>
      <c r="D408" s="95"/>
      <c r="E408" s="141"/>
      <c r="F408" s="94" t="s">
        <v>820</v>
      </c>
      <c r="G408" s="505">
        <f>TRUNC(0.56+0.1,4)</f>
        <v>0.66</v>
      </c>
      <c r="H408" s="463" t="str">
        <f t="shared" si="493"/>
        <v>보통인부인</v>
      </c>
      <c r="I408" s="451" t="str">
        <f>CONCATENATE(C408,E408,F408)</f>
        <v>보통인부인</v>
      </c>
      <c r="J408" s="506" t="str">
        <f>IF(OR($F408="인",$F408=""),"",VLOOKUP($H408,단가!$A:$S,19,FALSE))</f>
        <v/>
      </c>
      <c r="K408" s="507" t="str">
        <f t="shared" si="486"/>
        <v/>
      </c>
      <c r="L408" s="506">
        <f>IF($F408="인",VLOOKUP($C:$C,노임!$C:$G,4,FALSE),"")</f>
        <v>106846</v>
      </c>
      <c r="M408" s="507">
        <f t="shared" si="487"/>
        <v>70518</v>
      </c>
      <c r="N408" s="507"/>
      <c r="O408" s="507" t="str">
        <f t="shared" si="488"/>
        <v/>
      </c>
      <c r="P408" s="508"/>
      <c r="Q408" s="509" t="str">
        <f>IF(F408="인","노임"&amp;VLOOKUP($C:$C,노임!C:G,5,FALSE)&amp;"번","단가"&amp;VLOOKUP($H:$H,단가!$A:$B,2,FALSE)&amp;"번")</f>
        <v>노임1002번</v>
      </c>
      <c r="R408" s="510"/>
      <c r="S408" s="131"/>
      <c r="T408" s="470" t="str">
        <f t="shared" si="480"/>
        <v>노임1002번</v>
      </c>
      <c r="V408" s="549"/>
      <c r="W408" s="471">
        <f t="shared" ref="W408:X408" si="498">W407</f>
        <v>16</v>
      </c>
      <c r="X408" s="471" t="e">
        <f t="shared" si="498"/>
        <v>#REF!</v>
      </c>
      <c r="Y408" s="471" t="e">
        <f t="shared" si="485"/>
        <v>#REF!</v>
      </c>
      <c r="Z408" s="471"/>
      <c r="AA408" s="471"/>
    </row>
    <row r="409" spans="1:40" s="470" customFormat="1" ht="15.75" customHeight="1" x14ac:dyDescent="0.15">
      <c r="B409" s="95"/>
      <c r="C409" s="140" t="s">
        <v>373</v>
      </c>
      <c r="D409" s="95"/>
      <c r="E409" s="141" t="s">
        <v>517</v>
      </c>
      <c r="F409" s="94" t="s">
        <v>821</v>
      </c>
      <c r="G409" s="556">
        <v>1</v>
      </c>
      <c r="H409" s="463" t="str">
        <f t="shared" si="493"/>
        <v>공구손료인력품의 3%식</v>
      </c>
      <c r="I409" s="451"/>
      <c r="J409" s="506">
        <f>TRUNC(SUM(M405:M408)*3%,0)</f>
        <v>152386</v>
      </c>
      <c r="K409" s="507">
        <f t="shared" si="486"/>
        <v>152386</v>
      </c>
      <c r="L409" s="506"/>
      <c r="M409" s="507" t="str">
        <f t="shared" si="487"/>
        <v/>
      </c>
      <c r="N409" s="507"/>
      <c r="O409" s="507" t="str">
        <f t="shared" si="488"/>
        <v/>
      </c>
      <c r="P409" s="508"/>
      <c r="Q409" s="512"/>
      <c r="R409" s="513"/>
      <c r="S409" s="131"/>
      <c r="T409" s="470" t="str">
        <f t="shared" si="480"/>
        <v/>
      </c>
      <c r="V409" s="549"/>
      <c r="W409" s="471">
        <f t="shared" ref="W409:X409" si="499">W408</f>
        <v>16</v>
      </c>
      <c r="X409" s="471" t="e">
        <f t="shared" si="499"/>
        <v>#REF!</v>
      </c>
      <c r="Y409" s="471" t="e">
        <f t="shared" si="485"/>
        <v>#REF!</v>
      </c>
      <c r="Z409" s="471"/>
      <c r="AA409" s="471"/>
    </row>
    <row r="410" spans="1:40" s="470" customFormat="1" ht="15.75" customHeight="1" x14ac:dyDescent="0.15">
      <c r="B410" s="95"/>
      <c r="C410" s="140"/>
      <c r="D410" s="95"/>
      <c r="E410" s="141"/>
      <c r="F410" s="94"/>
      <c r="G410" s="556"/>
      <c r="H410" s="463" t="str">
        <f t="shared" si="474"/>
        <v/>
      </c>
      <c r="I410" s="451"/>
      <c r="J410" s="506"/>
      <c r="K410" s="507"/>
      <c r="L410" s="506"/>
      <c r="M410" s="507"/>
      <c r="N410" s="507"/>
      <c r="O410" s="507"/>
      <c r="P410" s="508"/>
      <c r="Q410" s="512"/>
      <c r="R410" s="513"/>
      <c r="S410" s="131"/>
      <c r="T410" s="470" t="str">
        <f t="shared" si="480"/>
        <v/>
      </c>
      <c r="V410" s="549"/>
      <c r="W410" s="471">
        <f t="shared" ref="W410:X410" si="500">W409</f>
        <v>16</v>
      </c>
      <c r="X410" s="471" t="e">
        <f t="shared" si="500"/>
        <v>#REF!</v>
      </c>
      <c r="Y410" s="471" t="e">
        <f t="shared" si="485"/>
        <v>#REF!</v>
      </c>
      <c r="Z410" s="471"/>
      <c r="AA410" s="471"/>
    </row>
    <row r="411" spans="1:40" s="470" customFormat="1" ht="15.75" customHeight="1" x14ac:dyDescent="0.15">
      <c r="B411" s="95"/>
      <c r="C411" s="140"/>
      <c r="D411" s="95"/>
      <c r="E411" s="141"/>
      <c r="F411" s="94"/>
      <c r="G411" s="556"/>
      <c r="H411" s="463" t="str">
        <f t="shared" si="474"/>
        <v/>
      </c>
      <c r="I411" s="451"/>
      <c r="J411" s="506"/>
      <c r="K411" s="507"/>
      <c r="L411" s="506"/>
      <c r="M411" s="507"/>
      <c r="N411" s="507"/>
      <c r="O411" s="507"/>
      <c r="P411" s="508"/>
      <c r="Q411" s="512"/>
      <c r="R411" s="513"/>
      <c r="S411" s="131"/>
      <c r="T411" s="470" t="str">
        <f t="shared" si="480"/>
        <v/>
      </c>
      <c r="V411" s="549"/>
      <c r="W411" s="471">
        <f t="shared" ref="W411:X411" si="501">W410</f>
        <v>16</v>
      </c>
      <c r="X411" s="471" t="e">
        <f t="shared" si="501"/>
        <v>#REF!</v>
      </c>
      <c r="Y411" s="471" t="e">
        <f t="shared" si="485"/>
        <v>#REF!</v>
      </c>
      <c r="Z411" s="471"/>
      <c r="AA411" s="471"/>
    </row>
    <row r="412" spans="1:40" s="470" customFormat="1" ht="15.75" customHeight="1" x14ac:dyDescent="0.15">
      <c r="B412" s="95"/>
      <c r="C412" s="140"/>
      <c r="D412" s="95"/>
      <c r="E412" s="141"/>
      <c r="F412" s="94"/>
      <c r="G412" s="556"/>
      <c r="H412" s="463" t="str">
        <f t="shared" si="474"/>
        <v/>
      </c>
      <c r="I412" s="451"/>
      <c r="J412" s="506"/>
      <c r="K412" s="507"/>
      <c r="L412" s="506"/>
      <c r="M412" s="507"/>
      <c r="N412" s="507"/>
      <c r="O412" s="507"/>
      <c r="P412" s="508"/>
      <c r="Q412" s="512"/>
      <c r="R412" s="513"/>
      <c r="S412" s="131"/>
      <c r="T412" s="470" t="str">
        <f t="shared" si="480"/>
        <v/>
      </c>
      <c r="V412" s="549"/>
      <c r="W412" s="471">
        <f t="shared" ref="W412:X412" si="502">W411</f>
        <v>16</v>
      </c>
      <c r="X412" s="471" t="e">
        <f t="shared" si="502"/>
        <v>#REF!</v>
      </c>
      <c r="Y412" s="471" t="e">
        <f t="shared" si="485"/>
        <v>#REF!</v>
      </c>
      <c r="Z412" s="471"/>
      <c r="AA412" s="471"/>
    </row>
    <row r="413" spans="1:40" s="470" customFormat="1" ht="15.75" customHeight="1" x14ac:dyDescent="0.15">
      <c r="B413" s="514"/>
      <c r="C413" s="515"/>
      <c r="D413" s="95"/>
      <c r="E413" s="141"/>
      <c r="F413" s="94"/>
      <c r="G413" s="556"/>
      <c r="H413" s="463" t="str">
        <f t="shared" si="474"/>
        <v/>
      </c>
      <c r="I413" s="451"/>
      <c r="J413" s="506"/>
      <c r="K413" s="507"/>
      <c r="L413" s="506"/>
      <c r="M413" s="507"/>
      <c r="N413" s="507"/>
      <c r="O413" s="507"/>
      <c r="P413" s="508"/>
      <c r="Q413" s="512"/>
      <c r="R413" s="513"/>
      <c r="S413" s="131"/>
      <c r="T413" s="470" t="str">
        <f t="shared" si="480"/>
        <v/>
      </c>
      <c r="V413" s="549"/>
      <c r="W413" s="471">
        <f t="shared" ref="W413:X413" si="503">W412</f>
        <v>16</v>
      </c>
      <c r="X413" s="471" t="e">
        <f t="shared" si="503"/>
        <v>#REF!</v>
      </c>
      <c r="Y413" s="471" t="e">
        <f t="shared" si="485"/>
        <v>#REF!</v>
      </c>
      <c r="Z413" s="471"/>
      <c r="AA413" s="471"/>
    </row>
    <row r="414" spans="1:40" s="470" customFormat="1" ht="15.75" customHeight="1" x14ac:dyDescent="0.15">
      <c r="B414" s="538" t="s">
        <v>763</v>
      </c>
      <c r="C414" s="545"/>
      <c r="D414" s="516"/>
      <c r="E414" s="517" t="s">
        <v>848</v>
      </c>
      <c r="F414" s="518"/>
      <c r="G414" s="557"/>
      <c r="H414" s="463" t="str">
        <f t="shared" si="474"/>
        <v>Kg당기준</v>
      </c>
      <c r="I414" s="520">
        <f>목록!$B$21</f>
        <v>16</v>
      </c>
      <c r="J414" s="521"/>
      <c r="K414" s="522">
        <f>TRUNC(K415/1000,0)</f>
        <v>239</v>
      </c>
      <c r="L414" s="521"/>
      <c r="M414" s="522">
        <f>TRUNC(M415/1000,0)</f>
        <v>5079</v>
      </c>
      <c r="N414" s="521"/>
      <c r="O414" s="522">
        <f>TRUNC(O415/1000,0)</f>
        <v>13</v>
      </c>
      <c r="P414" s="523"/>
      <c r="Q414" s="512"/>
      <c r="R414" s="513"/>
      <c r="S414" s="524"/>
      <c r="T414" s="470" t="str">
        <f t="shared" si="480"/>
        <v/>
      </c>
      <c r="V414" s="549"/>
      <c r="W414" s="471">
        <f t="shared" ref="W414:X414" si="504">W413</f>
        <v>16</v>
      </c>
      <c r="X414" s="471" t="e">
        <f t="shared" si="504"/>
        <v>#REF!</v>
      </c>
      <c r="Y414" s="471" t="e">
        <f t="shared" si="485"/>
        <v>#REF!</v>
      </c>
      <c r="Z414" s="471"/>
      <c r="AA414" s="471"/>
    </row>
    <row r="415" spans="1:40" s="470" customFormat="1" ht="15.75" customHeight="1" x14ac:dyDescent="0.15">
      <c r="A415" s="457"/>
      <c r="B415" s="538" t="s">
        <v>763</v>
      </c>
      <c r="C415" s="545"/>
      <c r="D415" s="95"/>
      <c r="E415" s="141" t="s">
        <v>849</v>
      </c>
      <c r="F415" s="94"/>
      <c r="G415" s="556"/>
      <c r="H415" s="463" t="str">
        <f t="shared" si="474"/>
        <v>TON당기준</v>
      </c>
      <c r="I415" s="451"/>
      <c r="J415" s="506"/>
      <c r="K415" s="507">
        <f>SUM(K400:K413)</f>
        <v>239394</v>
      </c>
      <c r="L415" s="506"/>
      <c r="M415" s="507">
        <f>SUM(M400:M413)</f>
        <v>5079557</v>
      </c>
      <c r="N415" s="507"/>
      <c r="O415" s="507">
        <f>SUM(O400:O413)</f>
        <v>13544</v>
      </c>
      <c r="P415" s="508"/>
      <c r="Q415" s="512"/>
      <c r="R415" s="513"/>
      <c r="S415" s="131"/>
      <c r="T415" s="470" t="str">
        <f t="shared" si="480"/>
        <v/>
      </c>
      <c r="V415" s="549"/>
      <c r="W415" s="615">
        <f t="shared" ref="W415:X415" si="505">W414</f>
        <v>16</v>
      </c>
      <c r="X415" s="471" t="e">
        <f t="shared" si="505"/>
        <v>#REF!</v>
      </c>
      <c r="Y415" s="471" t="e">
        <f t="shared" si="485"/>
        <v>#REF!</v>
      </c>
      <c r="Z415" s="471"/>
      <c r="AA415" s="471"/>
    </row>
    <row r="416" spans="1:40" s="470" customFormat="1" ht="15.75" customHeight="1" x14ac:dyDescent="0.15">
      <c r="B416" s="453"/>
      <c r="C416" s="209" t="s">
        <v>1018</v>
      </c>
      <c r="D416" s="95"/>
      <c r="E416" s="141"/>
      <c r="F416" s="94"/>
      <c r="G416" s="556"/>
      <c r="H416" s="463" t="str">
        <f t="shared" si="474"/>
        <v>※ 건축표준품셈 : 14-5 각종 잡철물 제작 설치, (간단기준 적용)</v>
      </c>
      <c r="I416" s="451"/>
      <c r="J416" s="506"/>
      <c r="K416" s="507"/>
      <c r="L416" s="506"/>
      <c r="M416" s="507"/>
      <c r="N416" s="507"/>
      <c r="O416" s="507"/>
      <c r="P416" s="508"/>
      <c r="Q416" s="512"/>
      <c r="R416" s="513"/>
      <c r="S416" s="131"/>
      <c r="T416" s="470" t="str">
        <f t="shared" si="480"/>
        <v/>
      </c>
      <c r="U416" s="457"/>
      <c r="V416" s="551"/>
      <c r="W416" s="471">
        <f t="shared" ref="W416:X416" si="506">W415</f>
        <v>16</v>
      </c>
      <c r="X416" s="471" t="e">
        <f t="shared" si="506"/>
        <v>#REF!</v>
      </c>
      <c r="Y416" s="471" t="e">
        <f t="shared" si="485"/>
        <v>#REF!</v>
      </c>
      <c r="Z416" s="471"/>
      <c r="AA416" s="471"/>
      <c r="AB416" s="457"/>
      <c r="AC416" s="457"/>
      <c r="AD416" s="457"/>
      <c r="AE416" s="457"/>
      <c r="AF416" s="457"/>
      <c r="AG416" s="457"/>
      <c r="AH416" s="457"/>
      <c r="AI416" s="457"/>
      <c r="AJ416" s="457"/>
      <c r="AK416" s="457"/>
      <c r="AL416" s="457"/>
      <c r="AM416" s="457"/>
      <c r="AN416" s="457"/>
    </row>
    <row r="417" spans="1:40" s="457" customFormat="1" ht="15.75" customHeight="1" x14ac:dyDescent="0.15">
      <c r="A417" s="470"/>
      <c r="B417" s="560"/>
      <c r="C417" s="552"/>
      <c r="D417" s="516"/>
      <c r="E417" s="517"/>
      <c r="F417" s="518"/>
      <c r="G417" s="557"/>
      <c r="H417" s="463" t="str">
        <f t="shared" si="474"/>
        <v/>
      </c>
      <c r="I417" s="520"/>
      <c r="J417" s="521"/>
      <c r="K417" s="522"/>
      <c r="L417" s="521"/>
      <c r="M417" s="522"/>
      <c r="N417" s="521"/>
      <c r="O417" s="522"/>
      <c r="P417" s="523"/>
      <c r="Q417" s="512"/>
      <c r="R417" s="513"/>
      <c r="S417" s="524"/>
      <c r="T417" s="470" t="str">
        <f t="shared" si="480"/>
        <v/>
      </c>
      <c r="U417" s="470"/>
      <c r="V417" s="551"/>
      <c r="W417" s="471">
        <f t="shared" ref="W417:X417" si="507">W416</f>
        <v>16</v>
      </c>
      <c r="X417" s="471" t="e">
        <f t="shared" si="507"/>
        <v>#REF!</v>
      </c>
      <c r="Y417" s="471" t="e">
        <f t="shared" si="485"/>
        <v>#REF!</v>
      </c>
      <c r="Z417" s="471"/>
      <c r="AA417" s="471"/>
      <c r="AB417" s="470"/>
      <c r="AC417" s="470"/>
      <c r="AD417" s="470"/>
      <c r="AE417" s="470"/>
      <c r="AF417" s="470"/>
      <c r="AG417" s="470"/>
      <c r="AH417" s="470"/>
      <c r="AI417" s="470"/>
      <c r="AJ417" s="470"/>
      <c r="AK417" s="470"/>
      <c r="AL417" s="470"/>
      <c r="AM417" s="470"/>
      <c r="AN417" s="470"/>
    </row>
    <row r="418" spans="1:40" s="470" customFormat="1" ht="15.75" customHeight="1" x14ac:dyDescent="0.15">
      <c r="A418" s="457"/>
      <c r="B418" s="457"/>
      <c r="C418" s="458"/>
      <c r="D418" s="459"/>
      <c r="E418" s="460"/>
      <c r="F418" s="461"/>
      <c r="G418" s="553"/>
      <c r="H418" s="463" t="str">
        <f>CONCATENATE(C418,E418,F418)</f>
        <v/>
      </c>
      <c r="I418" s="464"/>
      <c r="J418" s="465"/>
      <c r="K418" s="465"/>
      <c r="L418" s="465"/>
      <c r="M418" s="465"/>
      <c r="N418" s="465"/>
      <c r="O418" s="487"/>
      <c r="P418" s="467"/>
      <c r="Q418" s="468"/>
      <c r="R418" s="469"/>
      <c r="S418" s="467"/>
      <c r="T418" s="470" t="str">
        <f t="shared" si="480"/>
        <v/>
      </c>
      <c r="W418" s="533">
        <f t="shared" ref="W418" si="508">I440</f>
        <v>17</v>
      </c>
      <c r="X418" s="533" t="e">
        <f t="shared" ref="X418" si="509">X417+1</f>
        <v>#REF!</v>
      </c>
      <c r="Y418" s="533" t="e">
        <f t="shared" si="485"/>
        <v>#REF!</v>
      </c>
      <c r="Z418" s="533"/>
      <c r="AA418" s="533"/>
    </row>
    <row r="419" spans="1:40" s="470" customFormat="1" ht="15.75" customHeight="1" x14ac:dyDescent="0.15">
      <c r="A419" s="457"/>
      <c r="B419" s="473"/>
      <c r="C419" s="474" t="str">
        <f>"   항목번호 : "&amp;목록!L$22</f>
        <v xml:space="preserve">   항목번호 : 제17호표</v>
      </c>
      <c r="D419" s="475">
        <f>목록!B$22</f>
        <v>17</v>
      </c>
      <c r="E419" s="476"/>
      <c r="F419" s="477"/>
      <c r="G419" s="554"/>
      <c r="H419" s="463" t="str">
        <f>CONCATENATE(C419,E419,F419)</f>
        <v xml:space="preserve">   항목번호 : 제17호표</v>
      </c>
      <c r="I419" s="479"/>
      <c r="J419" s="480"/>
      <c r="K419" s="481"/>
      <c r="L419" s="482"/>
      <c r="M419" s="482"/>
      <c r="N419" s="482"/>
      <c r="O419" s="487"/>
      <c r="P419" s="483"/>
      <c r="Q419" s="484"/>
      <c r="R419" s="485"/>
      <c r="S419" s="483"/>
      <c r="T419" s="470" t="str">
        <f t="shared" si="480"/>
        <v/>
      </c>
      <c r="U419" s="457"/>
      <c r="V419" s="551"/>
      <c r="W419" s="471">
        <f t="shared" ref="W419:X419" si="510">W418</f>
        <v>17</v>
      </c>
      <c r="X419" s="471" t="e">
        <f t="shared" si="510"/>
        <v>#REF!</v>
      </c>
      <c r="Y419" s="471" t="e">
        <f t="shared" si="485"/>
        <v>#REF!</v>
      </c>
      <c r="Z419" s="471"/>
      <c r="AA419" s="471"/>
      <c r="AB419" s="457"/>
      <c r="AC419" s="457"/>
      <c r="AD419" s="457"/>
      <c r="AE419" s="457"/>
      <c r="AF419" s="457"/>
      <c r="AG419" s="457"/>
      <c r="AH419" s="457"/>
      <c r="AI419" s="457"/>
      <c r="AJ419" s="457"/>
      <c r="AK419" s="457"/>
      <c r="AL419" s="457"/>
      <c r="AM419" s="457"/>
      <c r="AN419" s="457"/>
    </row>
    <row r="420" spans="1:40" s="457" customFormat="1" ht="15.75" customHeight="1" x14ac:dyDescent="0.15">
      <c r="B420" s="473"/>
      <c r="C420" s="474" t="str">
        <f>"   공      종 : "&amp;목록!D$22</f>
        <v xml:space="preserve">   공      종 : 잡철물제작설치</v>
      </c>
      <c r="D420" s="484"/>
      <c r="E420" s="476"/>
      <c r="F420" s="473"/>
      <c r="G420" s="554"/>
      <c r="H420" s="463" t="str">
        <f>CONCATENATE(C420,E420,F420)</f>
        <v xml:space="preserve">   공      종 : 잡철물제작설치</v>
      </c>
      <c r="I420" s="479"/>
      <c r="J420" s="480"/>
      <c r="K420" s="481"/>
      <c r="L420" s="482"/>
      <c r="M420" s="482"/>
      <c r="N420" s="482"/>
      <c r="O420" s="487"/>
      <c r="P420" s="483"/>
      <c r="Q420" s="484"/>
      <c r="R420" s="485"/>
      <c r="S420" s="483"/>
      <c r="T420" s="470" t="str">
        <f t="shared" si="480"/>
        <v/>
      </c>
      <c r="V420" s="470"/>
      <c r="W420" s="471">
        <f t="shared" ref="W420:X420" si="511">W419</f>
        <v>17</v>
      </c>
      <c r="X420" s="471" t="e">
        <f t="shared" si="511"/>
        <v>#REF!</v>
      </c>
      <c r="Y420" s="471" t="e">
        <f t="shared" si="485"/>
        <v>#REF!</v>
      </c>
      <c r="Z420" s="471"/>
      <c r="AA420" s="471"/>
    </row>
    <row r="421" spans="1:40" s="457" customFormat="1" ht="15.75" customHeight="1" x14ac:dyDescent="0.15">
      <c r="B421" s="473"/>
      <c r="C421" s="474" t="str">
        <f xml:space="preserve"> "   규      격 : "&amp;목록!F$22</f>
        <v xml:space="preserve">   규      격 : 보통기준</v>
      </c>
      <c r="D421" s="484"/>
      <c r="E421" s="476"/>
      <c r="F421" s="473"/>
      <c r="G421" s="554"/>
      <c r="H421" s="463" t="str">
        <f t="shared" ref="H421:H451" si="512">CONCATENATE(C421,E421,F421)</f>
        <v xml:space="preserve">   규      격 : 보통기준</v>
      </c>
      <c r="I421" s="479"/>
      <c r="J421" s="480" t="s">
        <v>348</v>
      </c>
      <c r="K421" s="481"/>
      <c r="L421" s="482" t="s">
        <v>349</v>
      </c>
      <c r="M421" s="482"/>
      <c r="N421" s="482" t="s">
        <v>240</v>
      </c>
      <c r="O421" s="487"/>
      <c r="P421" s="483"/>
      <c r="Q421" s="484" t="s">
        <v>764</v>
      </c>
      <c r="R421" s="484"/>
      <c r="S421" s="483"/>
      <c r="T421" s="470" t="str">
        <f t="shared" si="480"/>
        <v>합계</v>
      </c>
      <c r="V421" s="547"/>
      <c r="W421" s="471">
        <f t="shared" ref="W421:X421" si="513">W420</f>
        <v>17</v>
      </c>
      <c r="X421" s="471" t="e">
        <f t="shared" si="513"/>
        <v>#REF!</v>
      </c>
      <c r="Y421" s="471" t="e">
        <f t="shared" si="485"/>
        <v>#REF!</v>
      </c>
      <c r="Z421" s="471"/>
      <c r="AA421" s="471"/>
    </row>
    <row r="422" spans="1:40" s="457" customFormat="1" ht="15.75" customHeight="1" x14ac:dyDescent="0.15">
      <c r="B422" s="473"/>
      <c r="C422" s="474" t="str">
        <f>"   단      위 : "&amp;목록!G$22</f>
        <v xml:space="preserve">   단      위 : Kg</v>
      </c>
      <c r="D422" s="484"/>
      <c r="E422" s="476"/>
      <c r="F422" s="473"/>
      <c r="G422" s="554"/>
      <c r="H422" s="463" t="str">
        <f t="shared" si="512"/>
        <v xml:space="preserve">   단      위 : Kg</v>
      </c>
      <c r="I422" s="479"/>
      <c r="J422" s="486">
        <f>K440</f>
        <v>287</v>
      </c>
      <c r="K422" s="481"/>
      <c r="L422" s="487">
        <f>M440</f>
        <v>6095</v>
      </c>
      <c r="M422" s="482"/>
      <c r="N422" s="482">
        <f>O440</f>
        <v>16</v>
      </c>
      <c r="O422" s="487"/>
      <c r="P422" s="483"/>
      <c r="Q422" s="488">
        <f>J422+L422+N422</f>
        <v>6398</v>
      </c>
      <c r="R422" s="489"/>
      <c r="S422" s="483"/>
      <c r="T422" s="470" t="str">
        <f t="shared" si="480"/>
        <v>6398</v>
      </c>
      <c r="V422" s="547"/>
      <c r="W422" s="471">
        <f t="shared" ref="W422:X422" si="514">W421</f>
        <v>17</v>
      </c>
      <c r="X422" s="471" t="e">
        <f t="shared" si="514"/>
        <v>#REF!</v>
      </c>
      <c r="Y422" s="471" t="e">
        <f t="shared" si="485"/>
        <v>#REF!</v>
      </c>
      <c r="Z422" s="471"/>
      <c r="AA422" s="471"/>
    </row>
    <row r="423" spans="1:40" s="457" customFormat="1" ht="15.75" customHeight="1" x14ac:dyDescent="0.15">
      <c r="B423" s="473"/>
      <c r="C423" s="474"/>
      <c r="D423" s="484"/>
      <c r="E423" s="476"/>
      <c r="F423" s="473"/>
      <c r="G423" s="555"/>
      <c r="H423" s="463" t="str">
        <f t="shared" si="512"/>
        <v/>
      </c>
      <c r="I423" s="491"/>
      <c r="J423" s="482"/>
      <c r="K423" s="465"/>
      <c r="L423" s="482"/>
      <c r="M423" s="482"/>
      <c r="N423" s="482"/>
      <c r="O423" s="487"/>
      <c r="P423" s="492"/>
      <c r="Q423" s="493"/>
      <c r="R423" s="485"/>
      <c r="S423" s="492"/>
      <c r="T423" s="470" t="str">
        <f t="shared" si="480"/>
        <v/>
      </c>
      <c r="V423" s="547"/>
      <c r="W423" s="471">
        <f t="shared" ref="W423:X423" si="515">W422</f>
        <v>17</v>
      </c>
      <c r="X423" s="471" t="e">
        <f t="shared" si="515"/>
        <v>#REF!</v>
      </c>
      <c r="Y423" s="471" t="e">
        <f t="shared" si="485"/>
        <v>#REF!</v>
      </c>
      <c r="Z423" s="471"/>
      <c r="AA423" s="471"/>
    </row>
    <row r="424" spans="1:40" s="457" customFormat="1" ht="15.75" customHeight="1" x14ac:dyDescent="0.15">
      <c r="B424" s="899" t="s">
        <v>375</v>
      </c>
      <c r="C424" s="900"/>
      <c r="D424" s="907" t="s">
        <v>356</v>
      </c>
      <c r="E424" s="908"/>
      <c r="F424" s="903" t="s">
        <v>782</v>
      </c>
      <c r="G424" s="913" t="s">
        <v>783</v>
      </c>
      <c r="H424" s="463" t="str">
        <f t="shared" si="512"/>
        <v>단위</v>
      </c>
      <c r="I424" s="494"/>
      <c r="J424" s="495" t="s">
        <v>348</v>
      </c>
      <c r="K424" s="496"/>
      <c r="L424" s="495" t="s">
        <v>349</v>
      </c>
      <c r="M424" s="496"/>
      <c r="N424" s="497" t="s">
        <v>240</v>
      </c>
      <c r="O424" s="497"/>
      <c r="P424" s="498"/>
      <c r="Q424" s="558" t="s">
        <v>355</v>
      </c>
      <c r="R424" s="558"/>
      <c r="S424" s="499"/>
      <c r="T424" s="470" t="str">
        <f t="shared" si="480"/>
        <v>비  고</v>
      </c>
      <c r="V424" s="547"/>
      <c r="W424" s="471">
        <f t="shared" ref="W424:X424" si="516">W423</f>
        <v>17</v>
      </c>
      <c r="X424" s="471" t="e">
        <f t="shared" si="516"/>
        <v>#REF!</v>
      </c>
      <c r="Y424" s="471" t="e">
        <f t="shared" si="485"/>
        <v>#REF!</v>
      </c>
      <c r="Z424" s="471"/>
      <c r="AA424" s="471"/>
    </row>
    <row r="425" spans="1:40" s="457" customFormat="1" ht="15.75" customHeight="1" x14ac:dyDescent="0.15">
      <c r="A425" s="547"/>
      <c r="B425" s="901"/>
      <c r="C425" s="902"/>
      <c r="D425" s="909"/>
      <c r="E425" s="910"/>
      <c r="F425" s="904"/>
      <c r="G425" s="914"/>
      <c r="H425" s="463" t="str">
        <f t="shared" si="512"/>
        <v/>
      </c>
      <c r="I425" s="500"/>
      <c r="J425" s="501" t="s">
        <v>353</v>
      </c>
      <c r="K425" s="501" t="s">
        <v>354</v>
      </c>
      <c r="L425" s="501" t="s">
        <v>353</v>
      </c>
      <c r="M425" s="502" t="s">
        <v>354</v>
      </c>
      <c r="N425" s="501" t="s">
        <v>353</v>
      </c>
      <c r="O425" s="501" t="s">
        <v>354</v>
      </c>
      <c r="P425" s="503"/>
      <c r="Q425" s="559"/>
      <c r="R425" s="559"/>
      <c r="S425" s="504"/>
      <c r="T425" s="470" t="str">
        <f t="shared" si="480"/>
        <v/>
      </c>
      <c r="V425" s="547"/>
      <c r="W425" s="471">
        <f t="shared" ref="W425:X425" si="517">W424</f>
        <v>17</v>
      </c>
      <c r="X425" s="471" t="e">
        <f t="shared" si="517"/>
        <v>#REF!</v>
      </c>
      <c r="Y425" s="471" t="e">
        <f t="shared" si="485"/>
        <v>#REF!</v>
      </c>
      <c r="Z425" s="471"/>
      <c r="AA425" s="471"/>
    </row>
    <row r="426" spans="1:40" s="457" customFormat="1" ht="15.75" customHeight="1" x14ac:dyDescent="0.15">
      <c r="A426" s="547"/>
      <c r="B426" s="95"/>
      <c r="C426" s="140" t="s">
        <v>837</v>
      </c>
      <c r="D426" s="95"/>
      <c r="E426" s="206" t="s">
        <v>838</v>
      </c>
      <c r="F426" s="94" t="s">
        <v>800</v>
      </c>
      <c r="G426" s="505">
        <f>TRUNC((15.71+2.77)*120%,4)</f>
        <v>22.175999999999998</v>
      </c>
      <c r="H426" s="463" t="str">
        <f t="shared" si="512"/>
        <v>용접봉3.2mm, CR-13Kg</v>
      </c>
      <c r="I426" s="451" t="str">
        <f>CONCATENATE(C426,E426,F426)</f>
        <v>용접봉3.2mm, CR-13Kg</v>
      </c>
      <c r="J426" s="506">
        <f>IF(OR($F426="인",$F426=""),"",VLOOKUP($H426,단가!$A:$S,19,FALSE))</f>
        <v>2784</v>
      </c>
      <c r="K426" s="507">
        <f t="shared" ref="K426:K435" si="518">IF(J426="","",TRUNC($G426*J426,0))</f>
        <v>61737</v>
      </c>
      <c r="L426" s="506" t="str">
        <f>IF($F426="인",VLOOKUP($C:$C,노임!$C:$G,4,FALSE),"")</f>
        <v/>
      </c>
      <c r="M426" s="507" t="str">
        <f t="shared" ref="M426:M435" si="519">IF(L426="","",TRUNC($G426*L426,0))</f>
        <v/>
      </c>
      <c r="N426" s="507"/>
      <c r="O426" s="507" t="str">
        <f t="shared" ref="O426:O435" si="520">IF(N426="","",TRUNC($G426*N426,0))</f>
        <v/>
      </c>
      <c r="P426" s="508"/>
      <c r="Q426" s="509" t="str">
        <f>IF(F426="인","노임"&amp;VLOOKUP($C:$C,노임!C:G,5,FALSE)&amp;"번","단가"&amp;VLOOKUP($H:$H,단가!$A:$B,2,FALSE)&amp;"번")</f>
        <v>단가55번</v>
      </c>
      <c r="R426" s="510"/>
      <c r="S426" s="131"/>
      <c r="T426" s="470" t="str">
        <f t="shared" si="480"/>
        <v>단가55번</v>
      </c>
      <c r="V426" s="548"/>
      <c r="W426" s="471">
        <f t="shared" ref="W426:X426" si="521">W425</f>
        <v>17</v>
      </c>
      <c r="X426" s="471" t="e">
        <f t="shared" si="521"/>
        <v>#REF!</v>
      </c>
      <c r="Y426" s="471" t="e">
        <f t="shared" si="485"/>
        <v>#REF!</v>
      </c>
      <c r="Z426" s="471"/>
      <c r="AA426" s="471"/>
    </row>
    <row r="427" spans="1:40" s="457" customFormat="1" ht="15.75" customHeight="1" x14ac:dyDescent="0.15">
      <c r="A427" s="470"/>
      <c r="B427" s="95"/>
      <c r="C427" s="140" t="s">
        <v>839</v>
      </c>
      <c r="D427" s="95"/>
      <c r="E427" s="141">
        <v>0.999</v>
      </c>
      <c r="F427" s="94" t="s">
        <v>840</v>
      </c>
      <c r="G427" s="556">
        <f>TRUNC((5355+945)*120%,4)</f>
        <v>7560</v>
      </c>
      <c r="H427" s="463" t="str">
        <f t="shared" si="512"/>
        <v>산소0.999ℓ</v>
      </c>
      <c r="I427" s="451" t="str">
        <f>CONCATENATE(C427,E427,F427)</f>
        <v>산소0.999ℓ</v>
      </c>
      <c r="J427" s="506">
        <f>IF(OR($F427="인",$F427=""),"",VLOOKUP($H427,단가!$A:$S,19,FALSE))</f>
        <v>1</v>
      </c>
      <c r="K427" s="507">
        <f t="shared" si="518"/>
        <v>7560</v>
      </c>
      <c r="L427" s="506" t="str">
        <f>IF($F427="인",VLOOKUP($C:$C,노임!$C:$G,4,FALSE),"")</f>
        <v/>
      </c>
      <c r="M427" s="507" t="str">
        <f t="shared" si="519"/>
        <v/>
      </c>
      <c r="N427" s="507"/>
      <c r="O427" s="507" t="str">
        <f t="shared" si="520"/>
        <v/>
      </c>
      <c r="P427" s="508"/>
      <c r="Q427" s="509" t="str">
        <f>IF(F427="인","노임"&amp;VLOOKUP($C:$C,노임!C:G,5,FALSE)&amp;"번","단가"&amp;VLOOKUP($H:$H,단가!$A:$B,2,FALSE)&amp;"번")</f>
        <v>단가60번</v>
      </c>
      <c r="R427" s="510"/>
      <c r="S427" s="131"/>
      <c r="T427" s="470" t="str">
        <f t="shared" si="480"/>
        <v>단가60번</v>
      </c>
      <c r="V427" s="548"/>
      <c r="W427" s="471">
        <f t="shared" ref="W427:X427" si="522">W426</f>
        <v>17</v>
      </c>
      <c r="X427" s="471" t="e">
        <f t="shared" si="522"/>
        <v>#REF!</v>
      </c>
      <c r="Y427" s="471" t="e">
        <f t="shared" si="485"/>
        <v>#REF!</v>
      </c>
      <c r="Z427" s="471"/>
      <c r="AA427" s="471"/>
    </row>
    <row r="428" spans="1:40" s="457" customFormat="1" ht="15.75" customHeight="1" x14ac:dyDescent="0.15">
      <c r="A428" s="470"/>
      <c r="B428" s="95"/>
      <c r="C428" s="140" t="s">
        <v>841</v>
      </c>
      <c r="D428" s="95"/>
      <c r="E428" s="141">
        <v>0.98</v>
      </c>
      <c r="F428" s="94" t="s">
        <v>800</v>
      </c>
      <c r="G428" s="505">
        <f>TRUNC((2.4+0.4)*120%,4)</f>
        <v>3.36</v>
      </c>
      <c r="H428" s="463" t="str">
        <f t="shared" si="512"/>
        <v>아세틸렌0.98Kg</v>
      </c>
      <c r="I428" s="451" t="str">
        <f>CONCATENATE(C428,E428,F428)</f>
        <v>아세틸렌0.98Kg</v>
      </c>
      <c r="J428" s="506">
        <f>IF(OR($F428="인",$F428=""),"",VLOOKUP($H428,단가!$A:$S,19,FALSE))</f>
        <v>10450</v>
      </c>
      <c r="K428" s="507">
        <f t="shared" si="518"/>
        <v>35112</v>
      </c>
      <c r="L428" s="506" t="str">
        <f>IF($F428="인",VLOOKUP($C:$C,노임!$C:$G,4,FALSE),"")</f>
        <v/>
      </c>
      <c r="M428" s="507" t="str">
        <f t="shared" si="519"/>
        <v/>
      </c>
      <c r="N428" s="507"/>
      <c r="O428" s="507" t="str">
        <f t="shared" si="520"/>
        <v/>
      </c>
      <c r="P428" s="508"/>
      <c r="Q428" s="509" t="str">
        <f>IF(F428="인","노임"&amp;VLOOKUP($C:$C,노임!C:G,5,FALSE)&amp;"번","단가"&amp;VLOOKUP($H:$H,단가!$A:$B,2,FALSE)&amp;"번")</f>
        <v>단가61번</v>
      </c>
      <c r="R428" s="510"/>
      <c r="S428" s="131"/>
      <c r="T428" s="470" t="str">
        <f t="shared" si="480"/>
        <v>단가61번</v>
      </c>
      <c r="U428" s="470"/>
      <c r="V428" s="549"/>
      <c r="W428" s="471">
        <f t="shared" ref="W428:X428" si="523">W427</f>
        <v>17</v>
      </c>
      <c r="X428" s="471" t="e">
        <f t="shared" si="523"/>
        <v>#REF!</v>
      </c>
      <c r="Y428" s="471" t="e">
        <f t="shared" si="485"/>
        <v>#REF!</v>
      </c>
      <c r="Z428" s="471"/>
      <c r="AA428" s="471"/>
      <c r="AB428" s="470"/>
      <c r="AC428" s="470"/>
      <c r="AD428" s="470"/>
      <c r="AE428" s="470"/>
      <c r="AF428" s="470"/>
      <c r="AG428" s="470"/>
      <c r="AH428" s="470"/>
      <c r="AI428" s="470"/>
      <c r="AJ428" s="470"/>
      <c r="AK428" s="470"/>
      <c r="AL428" s="470"/>
      <c r="AM428" s="470"/>
      <c r="AN428" s="470"/>
    </row>
    <row r="429" spans="1:40" s="470" customFormat="1" ht="15.75" customHeight="1" x14ac:dyDescent="0.15">
      <c r="B429" s="95"/>
      <c r="C429" s="140" t="s">
        <v>842</v>
      </c>
      <c r="D429" s="95"/>
      <c r="E429" s="141"/>
      <c r="F429" s="94" t="s">
        <v>843</v>
      </c>
      <c r="G429" s="505">
        <f>TRUNC((107.1+18.9)*120%,4)</f>
        <v>151.19999999999999</v>
      </c>
      <c r="H429" s="463" t="str">
        <f t="shared" si="512"/>
        <v>전력KWH</v>
      </c>
      <c r="I429" s="451"/>
      <c r="J429" s="506"/>
      <c r="K429" s="507" t="str">
        <f t="shared" si="518"/>
        <v/>
      </c>
      <c r="L429" s="506" t="str">
        <f>IF($F429="인",VLOOKUP($C:$C,노임!$C:$G,4,FALSE),"")</f>
        <v/>
      </c>
      <c r="M429" s="507" t="str">
        <f t="shared" si="519"/>
        <v/>
      </c>
      <c r="N429" s="506">
        <f>IF(OR($F429="인",$F429=""),"",VLOOKUP($H429,단가!$A:$S,19,FALSE))</f>
        <v>87</v>
      </c>
      <c r="O429" s="507">
        <f t="shared" si="520"/>
        <v>13154</v>
      </c>
      <c r="P429" s="508"/>
      <c r="Q429" s="509" t="str">
        <f>IF(F429="인","노임"&amp;VLOOKUP($C:$C,노임!C:G,5,FALSE)&amp;"번","단가"&amp;VLOOKUP($H:$H,단가!$A:$B,2,FALSE)&amp;"번")</f>
        <v>단가68번</v>
      </c>
      <c r="R429" s="513"/>
      <c r="S429" s="131"/>
      <c r="T429" s="470" t="str">
        <f t="shared" si="480"/>
        <v>단가68번</v>
      </c>
      <c r="V429" s="549"/>
      <c r="W429" s="471">
        <f t="shared" ref="W429:X429" si="524">W428</f>
        <v>17</v>
      </c>
      <c r="X429" s="471" t="e">
        <f t="shared" si="524"/>
        <v>#REF!</v>
      </c>
      <c r="Y429" s="471" t="e">
        <f t="shared" si="485"/>
        <v>#REF!</v>
      </c>
      <c r="Z429" s="471"/>
      <c r="AA429" s="471"/>
    </row>
    <row r="430" spans="1:40" s="470" customFormat="1" ht="15.75" customHeight="1" x14ac:dyDescent="0.15">
      <c r="B430" s="95"/>
      <c r="C430" s="140" t="s">
        <v>844</v>
      </c>
      <c r="D430" s="95"/>
      <c r="E430" s="141" t="s">
        <v>845</v>
      </c>
      <c r="F430" s="94" t="s">
        <v>799</v>
      </c>
      <c r="G430" s="505">
        <f>TRUNC((17.71+3.12)*120%,4)</f>
        <v>24.995999999999999</v>
      </c>
      <c r="H430" s="463" t="str">
        <f t="shared" ref="H430:H435" si="525">CONCATENATE(C430,E430,F430)</f>
        <v>용접기교류 500AMPHR</v>
      </c>
      <c r="I430" s="451" t="str">
        <f>CONCATENATE(C430,E430,F430)</f>
        <v>용접기교류 500AMPHR</v>
      </c>
      <c r="J430" s="506"/>
      <c r="K430" s="507" t="str">
        <f t="shared" si="518"/>
        <v/>
      </c>
      <c r="L430" s="506" t="str">
        <f>IF($F430="인",VLOOKUP($C:$C,노임!$C:$G,4,FALSE),"")</f>
        <v/>
      </c>
      <c r="M430" s="507" t="str">
        <f t="shared" si="519"/>
        <v/>
      </c>
      <c r="N430" s="506">
        <f>IF(OR($F430="인",$F430=""),"",VLOOKUP($H430,단가!$A:$S,19,FALSE))</f>
        <v>124</v>
      </c>
      <c r="O430" s="507">
        <f t="shared" si="520"/>
        <v>3099</v>
      </c>
      <c r="P430" s="508"/>
      <c r="Q430" s="509" t="str">
        <f>IF(F430="인","노임"&amp;VLOOKUP($C:$C,노임!C:G,5,FALSE)&amp;"번","단가"&amp;VLOOKUP($H:$H,단가!$A:$B,2,FALSE)&amp;"번")</f>
        <v>단가70번</v>
      </c>
      <c r="R430" s="510"/>
      <c r="S430" s="131"/>
      <c r="T430" s="470" t="str">
        <f t="shared" si="480"/>
        <v>단가70번</v>
      </c>
      <c r="V430" s="549"/>
      <c r="W430" s="471">
        <f t="shared" ref="W430:X430" si="526">W429</f>
        <v>17</v>
      </c>
      <c r="X430" s="471" t="e">
        <f t="shared" si="526"/>
        <v>#REF!</v>
      </c>
      <c r="Y430" s="471" t="e">
        <f t="shared" si="485"/>
        <v>#REF!</v>
      </c>
      <c r="Z430" s="471"/>
      <c r="AA430" s="471"/>
    </row>
    <row r="431" spans="1:40" s="470" customFormat="1" ht="15.75" customHeight="1" x14ac:dyDescent="0.15">
      <c r="B431" s="95"/>
      <c r="C431" s="140" t="s">
        <v>846</v>
      </c>
      <c r="D431" s="95"/>
      <c r="E431" s="141"/>
      <c r="F431" s="94" t="s">
        <v>750</v>
      </c>
      <c r="G431" s="505">
        <f>TRUNC((21.8+5.85)*120%,4)</f>
        <v>33.18</v>
      </c>
      <c r="H431" s="463" t="str">
        <f t="shared" si="525"/>
        <v>철공인</v>
      </c>
      <c r="I431" s="451" t="str">
        <f>CONCATENATE(C431,E431,F431)</f>
        <v>철공인</v>
      </c>
      <c r="J431" s="506" t="str">
        <f>IF(OR($F431="인",$F431=""),"",VLOOKUP($H431,단가!$A:$S,19,FALSE))</f>
        <v/>
      </c>
      <c r="K431" s="507" t="str">
        <f t="shared" si="518"/>
        <v/>
      </c>
      <c r="L431" s="506">
        <f>IF($F431="인",VLOOKUP($C:$C,노임!$C:$G,4,FALSE),"")</f>
        <v>162422</v>
      </c>
      <c r="M431" s="507">
        <f t="shared" si="519"/>
        <v>5389161</v>
      </c>
      <c r="N431" s="507"/>
      <c r="O431" s="507" t="str">
        <f t="shared" si="520"/>
        <v/>
      </c>
      <c r="P431" s="508"/>
      <c r="Q431" s="509" t="str">
        <f>IF(F431="인","노임"&amp;VLOOKUP($C:$C,노임!C:G,5,FALSE)&amp;"번","단가"&amp;VLOOKUP($H:$H,단가!$A:$B,2,FALSE)&amp;"번")</f>
        <v>노임1009번</v>
      </c>
      <c r="R431" s="510"/>
      <c r="S431" s="131"/>
      <c r="T431" s="470" t="str">
        <f t="shared" si="480"/>
        <v>노임1009번</v>
      </c>
      <c r="V431" s="549"/>
      <c r="W431" s="471">
        <f t="shared" ref="W431:X431" si="527">W430</f>
        <v>17</v>
      </c>
      <c r="X431" s="471" t="e">
        <f t="shared" si="527"/>
        <v>#REF!</v>
      </c>
      <c r="Y431" s="471" t="e">
        <f t="shared" si="485"/>
        <v>#REF!</v>
      </c>
      <c r="Z431" s="471"/>
      <c r="AA431" s="471"/>
    </row>
    <row r="432" spans="1:40" s="470" customFormat="1" ht="15.75" customHeight="1" x14ac:dyDescent="0.15">
      <c r="B432" s="95"/>
      <c r="C432" s="140" t="s">
        <v>374</v>
      </c>
      <c r="D432" s="95"/>
      <c r="E432" s="141"/>
      <c r="F432" s="94" t="s">
        <v>762</v>
      </c>
      <c r="G432" s="505">
        <f>TRUNC((2.21+0.39)*120%,4)</f>
        <v>3.12</v>
      </c>
      <c r="H432" s="463" t="str">
        <f t="shared" si="525"/>
        <v>용접공인</v>
      </c>
      <c r="I432" s="451" t="str">
        <f>CONCATENATE(C432,E432,F432)</f>
        <v>용접공인</v>
      </c>
      <c r="J432" s="506" t="str">
        <f>IF(OR($F432="인",$F432=""),"",VLOOKUP($H432,단가!$A:$S,19,FALSE))</f>
        <v/>
      </c>
      <c r="K432" s="507" t="str">
        <f t="shared" si="518"/>
        <v/>
      </c>
      <c r="L432" s="506">
        <f>IF($F432="인",VLOOKUP($C:$C,노임!$C:$G,4,FALSE),"")</f>
        <v>163001</v>
      </c>
      <c r="M432" s="507">
        <f t="shared" si="519"/>
        <v>508563</v>
      </c>
      <c r="N432" s="507"/>
      <c r="O432" s="507" t="str">
        <f t="shared" si="520"/>
        <v/>
      </c>
      <c r="P432" s="508"/>
      <c r="Q432" s="509" t="str">
        <f>IF(F432="인","노임"&amp;VLOOKUP($C:$C,노임!C:G,5,FALSE)&amp;"번","단가"&amp;VLOOKUP($H:$H,단가!$A:$B,2,FALSE)&amp;"번")</f>
        <v>노임1012번</v>
      </c>
      <c r="R432" s="510"/>
      <c r="S432" s="131"/>
      <c r="T432" s="470" t="str">
        <f t="shared" si="480"/>
        <v>노임1012번</v>
      </c>
      <c r="V432" s="549"/>
      <c r="W432" s="471">
        <f t="shared" ref="W432:X432" si="528">W431</f>
        <v>17</v>
      </c>
      <c r="X432" s="471" t="e">
        <f t="shared" si="528"/>
        <v>#REF!</v>
      </c>
      <c r="Y432" s="471" t="e">
        <f t="shared" si="485"/>
        <v>#REF!</v>
      </c>
      <c r="Z432" s="471"/>
      <c r="AA432" s="471"/>
    </row>
    <row r="433" spans="1:40" s="470" customFormat="1" ht="15.75" customHeight="1" x14ac:dyDescent="0.15">
      <c r="B433" s="95"/>
      <c r="C433" s="140" t="s">
        <v>847</v>
      </c>
      <c r="D433" s="95"/>
      <c r="E433" s="141"/>
      <c r="F433" s="94" t="s">
        <v>762</v>
      </c>
      <c r="G433" s="505">
        <f>TRUNC((0.63+0.11)*120%,4)</f>
        <v>0.88800000000000001</v>
      </c>
      <c r="H433" s="463" t="str">
        <f t="shared" si="525"/>
        <v>특별인부인</v>
      </c>
      <c r="I433" s="451" t="str">
        <f>CONCATENATE(C433,E433,F433)</f>
        <v>특별인부인</v>
      </c>
      <c r="J433" s="506" t="str">
        <f>IF(OR($F433="인",$F433=""),"",VLOOKUP($H433,단가!$A:$S,19,FALSE))</f>
        <v/>
      </c>
      <c r="K433" s="507" t="str">
        <f t="shared" si="518"/>
        <v/>
      </c>
      <c r="L433" s="506">
        <f>IF($F433="인",VLOOKUP($C:$C,노임!$C:$G,4,FALSE),"")</f>
        <v>127391</v>
      </c>
      <c r="M433" s="507">
        <f t="shared" si="519"/>
        <v>113123</v>
      </c>
      <c r="N433" s="507"/>
      <c r="O433" s="507" t="str">
        <f t="shared" si="520"/>
        <v/>
      </c>
      <c r="P433" s="508"/>
      <c r="Q433" s="509" t="str">
        <f>IF(F433="인","노임"&amp;VLOOKUP($C:$C,노임!C:G,5,FALSE)&amp;"번","단가"&amp;VLOOKUP($H:$H,단가!$A:$B,2,FALSE)&amp;"번")</f>
        <v>노임1003번</v>
      </c>
      <c r="R433" s="510"/>
      <c r="S433" s="131"/>
      <c r="T433" s="470" t="str">
        <f t="shared" si="480"/>
        <v>노임1003번</v>
      </c>
      <c r="V433" s="549"/>
      <c r="W433" s="471">
        <f t="shared" ref="W433:X433" si="529">W432</f>
        <v>17</v>
      </c>
      <c r="X433" s="471" t="e">
        <f t="shared" si="529"/>
        <v>#REF!</v>
      </c>
      <c r="Y433" s="471" t="e">
        <f t="shared" si="485"/>
        <v>#REF!</v>
      </c>
      <c r="Z433" s="471"/>
      <c r="AA433" s="471"/>
    </row>
    <row r="434" spans="1:40" s="470" customFormat="1" ht="15.75" customHeight="1" x14ac:dyDescent="0.15">
      <c r="B434" s="95"/>
      <c r="C434" s="140" t="s">
        <v>819</v>
      </c>
      <c r="D434" s="95"/>
      <c r="E434" s="141"/>
      <c r="F434" s="94" t="s">
        <v>820</v>
      </c>
      <c r="G434" s="505">
        <f>TRUNC((0.56+0.1)*120%,4)</f>
        <v>0.79200000000000004</v>
      </c>
      <c r="H434" s="463" t="str">
        <f t="shared" si="525"/>
        <v>보통인부인</v>
      </c>
      <c r="I434" s="451" t="str">
        <f>CONCATENATE(C434,E434,F434)</f>
        <v>보통인부인</v>
      </c>
      <c r="J434" s="506" t="str">
        <f>IF(OR($F434="인",$F434=""),"",VLOOKUP($H434,단가!$A:$S,19,FALSE))</f>
        <v/>
      </c>
      <c r="K434" s="507" t="str">
        <f t="shared" si="518"/>
        <v/>
      </c>
      <c r="L434" s="506">
        <f>IF($F434="인",VLOOKUP($C:$C,노임!$C:$G,4,FALSE),"")</f>
        <v>106846</v>
      </c>
      <c r="M434" s="507">
        <f t="shared" si="519"/>
        <v>84622</v>
      </c>
      <c r="N434" s="507"/>
      <c r="O434" s="507" t="str">
        <f t="shared" si="520"/>
        <v/>
      </c>
      <c r="P434" s="508"/>
      <c r="Q434" s="509" t="str">
        <f>IF(F434="인","노임"&amp;VLOOKUP($C:$C,노임!C:G,5,FALSE)&amp;"번","단가"&amp;VLOOKUP($H:$H,단가!$A:$B,2,FALSE)&amp;"번")</f>
        <v>노임1002번</v>
      </c>
      <c r="R434" s="510"/>
      <c r="S434" s="131"/>
      <c r="T434" s="470" t="str">
        <f t="shared" si="480"/>
        <v>노임1002번</v>
      </c>
      <c r="V434" s="549"/>
      <c r="W434" s="471">
        <f t="shared" ref="W434:X434" si="530">W433</f>
        <v>17</v>
      </c>
      <c r="X434" s="471" t="e">
        <f t="shared" si="530"/>
        <v>#REF!</v>
      </c>
      <c r="Y434" s="471" t="e">
        <f t="shared" si="485"/>
        <v>#REF!</v>
      </c>
      <c r="Z434" s="471"/>
      <c r="AA434" s="471"/>
    </row>
    <row r="435" spans="1:40" s="470" customFormat="1" ht="15.75" customHeight="1" x14ac:dyDescent="0.15">
      <c r="B435" s="95"/>
      <c r="C435" s="140" t="s">
        <v>373</v>
      </c>
      <c r="D435" s="95"/>
      <c r="E435" s="141" t="s">
        <v>517</v>
      </c>
      <c r="F435" s="94" t="s">
        <v>821</v>
      </c>
      <c r="G435" s="556">
        <v>1</v>
      </c>
      <c r="H435" s="463" t="str">
        <f t="shared" si="525"/>
        <v>공구손료인력품의 3%식</v>
      </c>
      <c r="I435" s="451"/>
      <c r="J435" s="506">
        <f>TRUNC(SUM(M431:M434)*3%,0)</f>
        <v>182864</v>
      </c>
      <c r="K435" s="507">
        <f t="shared" si="518"/>
        <v>182864</v>
      </c>
      <c r="L435" s="506"/>
      <c r="M435" s="507" t="str">
        <f t="shared" si="519"/>
        <v/>
      </c>
      <c r="N435" s="507"/>
      <c r="O435" s="507" t="str">
        <f t="shared" si="520"/>
        <v/>
      </c>
      <c r="P435" s="508"/>
      <c r="Q435" s="512"/>
      <c r="R435" s="513"/>
      <c r="S435" s="131"/>
      <c r="T435" s="470" t="str">
        <f t="shared" si="480"/>
        <v/>
      </c>
      <c r="V435" s="549"/>
      <c r="W435" s="471">
        <f t="shared" ref="W435:X435" si="531">W434</f>
        <v>17</v>
      </c>
      <c r="X435" s="471" t="e">
        <f t="shared" si="531"/>
        <v>#REF!</v>
      </c>
      <c r="Y435" s="471" t="e">
        <f t="shared" si="485"/>
        <v>#REF!</v>
      </c>
      <c r="Z435" s="471"/>
      <c r="AA435" s="471"/>
    </row>
    <row r="436" spans="1:40" s="470" customFormat="1" ht="15.75" customHeight="1" x14ac:dyDescent="0.15">
      <c r="B436" s="95"/>
      <c r="C436" s="140"/>
      <c r="D436" s="95"/>
      <c r="E436" s="141"/>
      <c r="F436" s="94"/>
      <c r="G436" s="556"/>
      <c r="H436" s="463" t="str">
        <f t="shared" si="512"/>
        <v/>
      </c>
      <c r="I436" s="451"/>
      <c r="J436" s="506"/>
      <c r="K436" s="507"/>
      <c r="L436" s="506"/>
      <c r="M436" s="507"/>
      <c r="N436" s="507"/>
      <c r="O436" s="507"/>
      <c r="P436" s="508"/>
      <c r="Q436" s="512"/>
      <c r="R436" s="513"/>
      <c r="S436" s="131"/>
      <c r="T436" s="470" t="str">
        <f t="shared" si="480"/>
        <v/>
      </c>
      <c r="V436" s="549"/>
      <c r="W436" s="471">
        <f t="shared" ref="W436:X436" si="532">W435</f>
        <v>17</v>
      </c>
      <c r="X436" s="471" t="e">
        <f t="shared" si="532"/>
        <v>#REF!</v>
      </c>
      <c r="Y436" s="471" t="e">
        <f t="shared" si="485"/>
        <v>#REF!</v>
      </c>
      <c r="Z436" s="471"/>
      <c r="AA436" s="471"/>
    </row>
    <row r="437" spans="1:40" s="470" customFormat="1" ht="15.75" customHeight="1" x14ac:dyDescent="0.15">
      <c r="B437" s="95"/>
      <c r="C437" s="140"/>
      <c r="D437" s="95"/>
      <c r="E437" s="141"/>
      <c r="F437" s="94"/>
      <c r="G437" s="556"/>
      <c r="H437" s="463" t="str">
        <f t="shared" si="512"/>
        <v/>
      </c>
      <c r="I437" s="451"/>
      <c r="J437" s="506"/>
      <c r="K437" s="507"/>
      <c r="L437" s="506"/>
      <c r="M437" s="507"/>
      <c r="N437" s="507"/>
      <c r="O437" s="507"/>
      <c r="P437" s="508"/>
      <c r="Q437" s="512"/>
      <c r="R437" s="513"/>
      <c r="S437" s="131"/>
      <c r="T437" s="470" t="str">
        <f t="shared" si="480"/>
        <v/>
      </c>
      <c r="V437" s="549"/>
      <c r="W437" s="471">
        <f t="shared" ref="W437:X437" si="533">W436</f>
        <v>17</v>
      </c>
      <c r="X437" s="471" t="e">
        <f t="shared" si="533"/>
        <v>#REF!</v>
      </c>
      <c r="Y437" s="471" t="e">
        <f t="shared" si="485"/>
        <v>#REF!</v>
      </c>
      <c r="Z437" s="471"/>
      <c r="AA437" s="471"/>
    </row>
    <row r="438" spans="1:40" s="470" customFormat="1" ht="15.75" customHeight="1" x14ac:dyDescent="0.15">
      <c r="B438" s="95"/>
      <c r="C438" s="140"/>
      <c r="D438" s="95"/>
      <c r="E438" s="141"/>
      <c r="F438" s="94"/>
      <c r="G438" s="556"/>
      <c r="H438" s="463" t="str">
        <f t="shared" si="512"/>
        <v/>
      </c>
      <c r="I438" s="451"/>
      <c r="J438" s="506"/>
      <c r="K438" s="507"/>
      <c r="L438" s="506"/>
      <c r="M438" s="507"/>
      <c r="N438" s="507"/>
      <c r="O438" s="507"/>
      <c r="P438" s="508"/>
      <c r="Q438" s="512"/>
      <c r="R438" s="513"/>
      <c r="S438" s="131"/>
      <c r="T438" s="470" t="str">
        <f t="shared" si="480"/>
        <v/>
      </c>
      <c r="V438" s="549"/>
      <c r="W438" s="471">
        <f t="shared" ref="W438:X438" si="534">W437</f>
        <v>17</v>
      </c>
      <c r="X438" s="471" t="e">
        <f t="shared" si="534"/>
        <v>#REF!</v>
      </c>
      <c r="Y438" s="471" t="e">
        <f t="shared" si="485"/>
        <v>#REF!</v>
      </c>
      <c r="Z438" s="471"/>
      <c r="AA438" s="471"/>
    </row>
    <row r="439" spans="1:40" s="470" customFormat="1" ht="15.75" customHeight="1" x14ac:dyDescent="0.15">
      <c r="B439" s="95"/>
      <c r="C439" s="140"/>
      <c r="D439" s="95"/>
      <c r="E439" s="141"/>
      <c r="F439" s="94"/>
      <c r="G439" s="556"/>
      <c r="H439" s="463" t="str">
        <f t="shared" si="512"/>
        <v/>
      </c>
      <c r="I439" s="451"/>
      <c r="J439" s="506"/>
      <c r="K439" s="507"/>
      <c r="L439" s="506"/>
      <c r="M439" s="507"/>
      <c r="N439" s="507"/>
      <c r="O439" s="507"/>
      <c r="P439" s="508"/>
      <c r="Q439" s="512"/>
      <c r="R439" s="513"/>
      <c r="S439" s="131"/>
      <c r="T439" s="470" t="str">
        <f t="shared" si="480"/>
        <v/>
      </c>
      <c r="V439" s="549"/>
      <c r="W439" s="471">
        <f t="shared" ref="W439:X439" si="535">W438</f>
        <v>17</v>
      </c>
      <c r="X439" s="471" t="e">
        <f t="shared" si="535"/>
        <v>#REF!</v>
      </c>
      <c r="Y439" s="471" t="e">
        <f t="shared" si="485"/>
        <v>#REF!</v>
      </c>
      <c r="Z439" s="471"/>
      <c r="AA439" s="471"/>
    </row>
    <row r="440" spans="1:40" s="470" customFormat="1" ht="15.75" customHeight="1" x14ac:dyDescent="0.15">
      <c r="B440" s="538" t="s">
        <v>763</v>
      </c>
      <c r="C440" s="545"/>
      <c r="D440" s="516"/>
      <c r="E440" s="517" t="s">
        <v>848</v>
      </c>
      <c r="F440" s="518"/>
      <c r="G440" s="557"/>
      <c r="H440" s="463" t="str">
        <f t="shared" si="512"/>
        <v>Kg당기준</v>
      </c>
      <c r="I440" s="520">
        <f>목록!$B$22</f>
        <v>17</v>
      </c>
      <c r="J440" s="521"/>
      <c r="K440" s="522">
        <f>TRUNC(K441/1000,0)</f>
        <v>287</v>
      </c>
      <c r="L440" s="521"/>
      <c r="M440" s="522">
        <f>TRUNC(M441/1000,0)</f>
        <v>6095</v>
      </c>
      <c r="N440" s="521"/>
      <c r="O440" s="522">
        <f>TRUNC(O441/1000,0)</f>
        <v>16</v>
      </c>
      <c r="P440" s="523"/>
      <c r="Q440" s="512"/>
      <c r="R440" s="513"/>
      <c r="S440" s="524"/>
      <c r="T440" s="470" t="str">
        <f t="shared" si="480"/>
        <v/>
      </c>
      <c r="V440" s="549"/>
      <c r="W440" s="471">
        <f t="shared" ref="W440:X440" si="536">W439</f>
        <v>17</v>
      </c>
      <c r="X440" s="471" t="e">
        <f t="shared" si="536"/>
        <v>#REF!</v>
      </c>
      <c r="Y440" s="471" t="e">
        <f t="shared" si="485"/>
        <v>#REF!</v>
      </c>
      <c r="Z440" s="471"/>
      <c r="AA440" s="471"/>
    </row>
    <row r="441" spans="1:40" s="470" customFormat="1" ht="15.75" customHeight="1" x14ac:dyDescent="0.15">
      <c r="A441" s="457"/>
      <c r="B441" s="538" t="s">
        <v>763</v>
      </c>
      <c r="C441" s="545"/>
      <c r="D441" s="95"/>
      <c r="E441" s="141" t="s">
        <v>849</v>
      </c>
      <c r="F441" s="94"/>
      <c r="G441" s="556"/>
      <c r="H441" s="463" t="str">
        <f t="shared" si="512"/>
        <v>TON당기준</v>
      </c>
      <c r="I441" s="451"/>
      <c r="J441" s="506"/>
      <c r="K441" s="507">
        <f>SUM(K426:K439)</f>
        <v>287273</v>
      </c>
      <c r="L441" s="506"/>
      <c r="M441" s="507">
        <f>SUM(M426:M439)</f>
        <v>6095469</v>
      </c>
      <c r="N441" s="507"/>
      <c r="O441" s="507">
        <f>SUM(O426:O439)</f>
        <v>16253</v>
      </c>
      <c r="P441" s="508"/>
      <c r="Q441" s="512"/>
      <c r="R441" s="513"/>
      <c r="S441" s="131"/>
      <c r="T441" s="470" t="str">
        <f t="shared" si="480"/>
        <v/>
      </c>
      <c r="V441" s="549"/>
      <c r="W441" s="615">
        <f t="shared" ref="W441:X441" si="537">W440</f>
        <v>17</v>
      </c>
      <c r="X441" s="471" t="e">
        <f t="shared" si="537"/>
        <v>#REF!</v>
      </c>
      <c r="Y441" s="471" t="e">
        <f t="shared" si="485"/>
        <v>#REF!</v>
      </c>
      <c r="Z441" s="471"/>
      <c r="AA441" s="471"/>
    </row>
    <row r="442" spans="1:40" s="470" customFormat="1" ht="15.75" customHeight="1" x14ac:dyDescent="0.15">
      <c r="B442" s="453"/>
      <c r="C442" s="209" t="s">
        <v>1019</v>
      </c>
      <c r="D442" s="95"/>
      <c r="E442" s="141"/>
      <c r="F442" s="94"/>
      <c r="G442" s="556"/>
      <c r="H442" s="463" t="str">
        <f t="shared" si="512"/>
        <v>※ 건축표준품셈 : 14-5 각종 잡철물 제작 설치, (보통기준 적용)</v>
      </c>
      <c r="I442" s="451"/>
      <c r="J442" s="506"/>
      <c r="K442" s="507"/>
      <c r="L442" s="506"/>
      <c r="M442" s="507"/>
      <c r="N442" s="507"/>
      <c r="O442" s="507"/>
      <c r="P442" s="508"/>
      <c r="Q442" s="512"/>
      <c r="R442" s="513"/>
      <c r="S442" s="131"/>
      <c r="T442" s="470" t="str">
        <f t="shared" si="480"/>
        <v/>
      </c>
      <c r="U442" s="457"/>
      <c r="V442" s="551"/>
      <c r="W442" s="471">
        <f t="shared" ref="W442:X442" si="538">W441</f>
        <v>17</v>
      </c>
      <c r="X442" s="471" t="e">
        <f t="shared" si="538"/>
        <v>#REF!</v>
      </c>
      <c r="Y442" s="471" t="e">
        <f t="shared" si="485"/>
        <v>#REF!</v>
      </c>
      <c r="Z442" s="471"/>
      <c r="AA442" s="471"/>
      <c r="AB442" s="457"/>
      <c r="AC442" s="457"/>
      <c r="AD442" s="457"/>
      <c r="AE442" s="457"/>
      <c r="AF442" s="457"/>
      <c r="AG442" s="457"/>
      <c r="AH442" s="457"/>
      <c r="AI442" s="457"/>
      <c r="AJ442" s="457"/>
      <c r="AK442" s="457"/>
      <c r="AL442" s="457"/>
      <c r="AM442" s="457"/>
      <c r="AN442" s="457"/>
    </row>
    <row r="443" spans="1:40" s="457" customFormat="1" ht="15.75" customHeight="1" x14ac:dyDescent="0.15">
      <c r="A443" s="470"/>
      <c r="B443" s="560"/>
      <c r="C443" s="552"/>
      <c r="D443" s="516"/>
      <c r="E443" s="517"/>
      <c r="F443" s="518"/>
      <c r="G443" s="557"/>
      <c r="H443" s="463" t="str">
        <f t="shared" si="512"/>
        <v/>
      </c>
      <c r="I443" s="520"/>
      <c r="J443" s="521"/>
      <c r="K443" s="522"/>
      <c r="L443" s="521"/>
      <c r="M443" s="522"/>
      <c r="N443" s="521"/>
      <c r="O443" s="522"/>
      <c r="P443" s="523"/>
      <c r="Q443" s="512"/>
      <c r="R443" s="513"/>
      <c r="S443" s="524"/>
      <c r="T443" s="470" t="str">
        <f t="shared" si="480"/>
        <v/>
      </c>
      <c r="U443" s="470"/>
      <c r="V443" s="551"/>
      <c r="W443" s="471">
        <f t="shared" ref="W443:X443" si="539">W442</f>
        <v>17</v>
      </c>
      <c r="X443" s="471" t="e">
        <f t="shared" si="539"/>
        <v>#REF!</v>
      </c>
      <c r="Y443" s="471" t="e">
        <f t="shared" si="485"/>
        <v>#REF!</v>
      </c>
      <c r="Z443" s="471"/>
      <c r="AA443" s="471"/>
      <c r="AB443" s="470"/>
      <c r="AC443" s="470"/>
      <c r="AD443" s="470"/>
      <c r="AE443" s="470"/>
      <c r="AF443" s="470"/>
      <c r="AG443" s="470"/>
      <c r="AH443" s="470"/>
      <c r="AI443" s="470"/>
      <c r="AJ443" s="470"/>
      <c r="AK443" s="470"/>
      <c r="AL443" s="470"/>
      <c r="AM443" s="470"/>
      <c r="AN443" s="470"/>
    </row>
    <row r="444" spans="1:40" s="470" customFormat="1" ht="15.75" customHeight="1" x14ac:dyDescent="0.15">
      <c r="A444" s="457"/>
      <c r="B444" s="457"/>
      <c r="C444" s="458"/>
      <c r="D444" s="459"/>
      <c r="E444" s="460"/>
      <c r="F444" s="461"/>
      <c r="G444" s="553"/>
      <c r="H444" s="463" t="str">
        <f t="shared" si="512"/>
        <v/>
      </c>
      <c r="I444" s="464"/>
      <c r="J444" s="465"/>
      <c r="K444" s="465"/>
      <c r="L444" s="465"/>
      <c r="M444" s="465"/>
      <c r="N444" s="465"/>
      <c r="O444" s="466"/>
      <c r="P444" s="467"/>
      <c r="Q444" s="468"/>
      <c r="R444" s="469"/>
      <c r="S444" s="467"/>
      <c r="T444" s="470" t="str">
        <f t="shared" ref="T444:T469" si="540">CONCATENATE(Q444,R444)</f>
        <v/>
      </c>
      <c r="W444" s="533">
        <f t="shared" ref="W444" si="541">I466</f>
        <v>18</v>
      </c>
      <c r="X444" s="533" t="e">
        <f>#REF!+1</f>
        <v>#REF!</v>
      </c>
      <c r="Y444" s="533" t="e">
        <f t="shared" ref="Y444:Y469" si="542">X444-W444</f>
        <v>#REF!</v>
      </c>
      <c r="Z444" s="533"/>
      <c r="AA444" s="533"/>
    </row>
    <row r="445" spans="1:40" s="470" customFormat="1" ht="15.75" customHeight="1" x14ac:dyDescent="0.15">
      <c r="A445" s="457"/>
      <c r="B445" s="473"/>
      <c r="C445" s="474" t="str">
        <f>"   항목번호 : "&amp;목록!L$23</f>
        <v xml:space="preserve">   항목번호 : 제18호표</v>
      </c>
      <c r="D445" s="475">
        <f>목록!B$23</f>
        <v>18</v>
      </c>
      <c r="E445" s="476"/>
      <c r="F445" s="477"/>
      <c r="G445" s="554"/>
      <c r="H445" s="463" t="str">
        <f t="shared" si="512"/>
        <v xml:space="preserve">   항목번호 : 제18호표</v>
      </c>
      <c r="I445" s="479"/>
      <c r="J445" s="480"/>
      <c r="K445" s="481"/>
      <c r="L445" s="482"/>
      <c r="M445" s="482"/>
      <c r="N445" s="482"/>
      <c r="O445" s="466"/>
      <c r="P445" s="483"/>
      <c r="Q445" s="484"/>
      <c r="R445" s="485"/>
      <c r="S445" s="483"/>
      <c r="T445" s="470" t="str">
        <f t="shared" si="540"/>
        <v/>
      </c>
      <c r="U445" s="457"/>
      <c r="V445" s="551"/>
      <c r="W445" s="471">
        <f t="shared" ref="W445:X445" si="543">W444</f>
        <v>18</v>
      </c>
      <c r="X445" s="471" t="e">
        <f t="shared" si="543"/>
        <v>#REF!</v>
      </c>
      <c r="Y445" s="471" t="e">
        <f t="shared" si="542"/>
        <v>#REF!</v>
      </c>
      <c r="Z445" s="471"/>
      <c r="AA445" s="471"/>
      <c r="AB445" s="457"/>
      <c r="AC445" s="457"/>
      <c r="AD445" s="457"/>
      <c r="AE445" s="457"/>
      <c r="AF445" s="457"/>
      <c r="AG445" s="457"/>
      <c r="AH445" s="457"/>
      <c r="AI445" s="457"/>
      <c r="AJ445" s="457"/>
      <c r="AK445" s="457"/>
      <c r="AL445" s="457"/>
      <c r="AM445" s="457"/>
      <c r="AN445" s="457"/>
    </row>
    <row r="446" spans="1:40" s="457" customFormat="1" ht="15.75" customHeight="1" x14ac:dyDescent="0.15">
      <c r="B446" s="473"/>
      <c r="C446" s="474" t="str">
        <f>"   공      종 : "&amp;목록!D$23</f>
        <v xml:space="preserve">   공      종 : 잡철물제작설치(강판)</v>
      </c>
      <c r="D446" s="484"/>
      <c r="E446" s="476"/>
      <c r="F446" s="473"/>
      <c r="G446" s="554"/>
      <c r="H446" s="463" t="str">
        <f t="shared" si="512"/>
        <v xml:space="preserve">   공      종 : 잡철물제작설치(강판)</v>
      </c>
      <c r="I446" s="479"/>
      <c r="J446" s="480"/>
      <c r="K446" s="481"/>
      <c r="L446" s="482"/>
      <c r="M446" s="482"/>
      <c r="N446" s="482"/>
      <c r="O446" s="466"/>
      <c r="P446" s="483"/>
      <c r="Q446" s="484"/>
      <c r="R446" s="485"/>
      <c r="S446" s="483"/>
      <c r="T446" s="470" t="str">
        <f t="shared" si="540"/>
        <v/>
      </c>
      <c r="V446" s="470"/>
      <c r="W446" s="471">
        <f t="shared" ref="W446:X446" si="544">W445</f>
        <v>18</v>
      </c>
      <c r="X446" s="471" t="e">
        <f t="shared" si="544"/>
        <v>#REF!</v>
      </c>
      <c r="Y446" s="471" t="e">
        <f t="shared" si="542"/>
        <v>#REF!</v>
      </c>
      <c r="Z446" s="471"/>
      <c r="AA446" s="471"/>
    </row>
    <row r="447" spans="1:40" s="457" customFormat="1" ht="15.75" customHeight="1" x14ac:dyDescent="0.15">
      <c r="B447" s="473"/>
      <c r="C447" s="474" t="str">
        <f xml:space="preserve"> "   규      격 : "&amp;목록!F$23</f>
        <v xml:space="preserve">   규      격 : 보통기준</v>
      </c>
      <c r="D447" s="484"/>
      <c r="E447" s="476"/>
      <c r="F447" s="473"/>
      <c r="G447" s="554"/>
      <c r="H447" s="463" t="str">
        <f t="shared" si="512"/>
        <v xml:space="preserve">   규      격 : 보통기준</v>
      </c>
      <c r="I447" s="479"/>
      <c r="J447" s="480" t="s">
        <v>348</v>
      </c>
      <c r="K447" s="481"/>
      <c r="L447" s="482" t="s">
        <v>349</v>
      </c>
      <c r="M447" s="482"/>
      <c r="N447" s="482" t="s">
        <v>240</v>
      </c>
      <c r="O447" s="466"/>
      <c r="P447" s="483"/>
      <c r="Q447" s="484" t="s">
        <v>764</v>
      </c>
      <c r="R447" s="484"/>
      <c r="S447" s="483"/>
      <c r="T447" s="470" t="str">
        <f t="shared" si="540"/>
        <v>합계</v>
      </c>
      <c r="V447" s="547"/>
      <c r="W447" s="471">
        <f t="shared" ref="W447:X447" si="545">W446</f>
        <v>18</v>
      </c>
      <c r="X447" s="471" t="e">
        <f t="shared" si="545"/>
        <v>#REF!</v>
      </c>
      <c r="Y447" s="471" t="e">
        <f t="shared" si="542"/>
        <v>#REF!</v>
      </c>
      <c r="Z447" s="471"/>
      <c r="AA447" s="471"/>
    </row>
    <row r="448" spans="1:40" s="457" customFormat="1" ht="15.75" customHeight="1" x14ac:dyDescent="0.15">
      <c r="B448" s="473"/>
      <c r="C448" s="474" t="str">
        <f>"   단      위 : "&amp;목록!G$23</f>
        <v xml:space="preserve">   단      위 : Kg</v>
      </c>
      <c r="D448" s="484"/>
      <c r="E448" s="476"/>
      <c r="F448" s="473"/>
      <c r="G448" s="554"/>
      <c r="H448" s="463" t="str">
        <f t="shared" si="512"/>
        <v xml:space="preserve">   단      위 : Kg</v>
      </c>
      <c r="I448" s="479"/>
      <c r="J448" s="486">
        <f>K466</f>
        <v>273</v>
      </c>
      <c r="K448" s="481"/>
      <c r="L448" s="487">
        <f>M466</f>
        <v>5648</v>
      </c>
      <c r="M448" s="482"/>
      <c r="N448" s="482">
        <f>O466</f>
        <v>16</v>
      </c>
      <c r="O448" s="466"/>
      <c r="P448" s="483"/>
      <c r="Q448" s="488">
        <f>J448+L448+N448</f>
        <v>5937</v>
      </c>
      <c r="R448" s="489"/>
      <c r="S448" s="483"/>
      <c r="T448" s="470" t="str">
        <f t="shared" si="540"/>
        <v>5937</v>
      </c>
      <c r="V448" s="547"/>
      <c r="W448" s="471">
        <f t="shared" ref="W448:X448" si="546">W447</f>
        <v>18</v>
      </c>
      <c r="X448" s="471" t="e">
        <f t="shared" si="546"/>
        <v>#REF!</v>
      </c>
      <c r="Y448" s="471" t="e">
        <f t="shared" si="542"/>
        <v>#REF!</v>
      </c>
      <c r="Z448" s="471"/>
      <c r="AA448" s="471"/>
    </row>
    <row r="449" spans="1:40" s="457" customFormat="1" ht="15.75" customHeight="1" x14ac:dyDescent="0.15">
      <c r="B449" s="473"/>
      <c r="C449" s="474"/>
      <c r="D449" s="484"/>
      <c r="E449" s="476"/>
      <c r="F449" s="473"/>
      <c r="G449" s="555"/>
      <c r="H449" s="463" t="str">
        <f t="shared" si="512"/>
        <v/>
      </c>
      <c r="I449" s="491"/>
      <c r="J449" s="482"/>
      <c r="K449" s="465"/>
      <c r="L449" s="482"/>
      <c r="M449" s="482"/>
      <c r="N449" s="482"/>
      <c r="O449" s="466"/>
      <c r="P449" s="492"/>
      <c r="Q449" s="493"/>
      <c r="R449" s="485"/>
      <c r="S449" s="492"/>
      <c r="T449" s="470" t="str">
        <f t="shared" si="540"/>
        <v/>
      </c>
      <c r="V449" s="547"/>
      <c r="W449" s="471">
        <f t="shared" ref="W449:X449" si="547">W448</f>
        <v>18</v>
      </c>
      <c r="X449" s="471" t="e">
        <f t="shared" si="547"/>
        <v>#REF!</v>
      </c>
      <c r="Y449" s="471" t="e">
        <f t="shared" si="542"/>
        <v>#REF!</v>
      </c>
      <c r="Z449" s="471"/>
      <c r="AA449" s="471"/>
    </row>
    <row r="450" spans="1:40" s="457" customFormat="1" ht="15.75" customHeight="1" x14ac:dyDescent="0.15">
      <c r="B450" s="899" t="s">
        <v>375</v>
      </c>
      <c r="C450" s="900"/>
      <c r="D450" s="907" t="s">
        <v>356</v>
      </c>
      <c r="E450" s="908"/>
      <c r="F450" s="903" t="s">
        <v>790</v>
      </c>
      <c r="G450" s="911" t="s">
        <v>791</v>
      </c>
      <c r="H450" s="463" t="str">
        <f t="shared" si="512"/>
        <v>단위</v>
      </c>
      <c r="I450" s="494"/>
      <c r="J450" s="495" t="s">
        <v>348</v>
      </c>
      <c r="K450" s="496"/>
      <c r="L450" s="495" t="s">
        <v>349</v>
      </c>
      <c r="M450" s="496"/>
      <c r="N450" s="497" t="s">
        <v>240</v>
      </c>
      <c r="O450" s="497"/>
      <c r="P450" s="498"/>
      <c r="Q450" s="744" t="s">
        <v>355</v>
      </c>
      <c r="R450" s="744"/>
      <c r="S450" s="499"/>
      <c r="T450" s="470" t="str">
        <f t="shared" si="540"/>
        <v>비  고</v>
      </c>
      <c r="V450" s="547"/>
      <c r="W450" s="471">
        <f t="shared" ref="W450:X450" si="548">W449</f>
        <v>18</v>
      </c>
      <c r="X450" s="471" t="e">
        <f t="shared" si="548"/>
        <v>#REF!</v>
      </c>
      <c r="Y450" s="471" t="e">
        <f t="shared" si="542"/>
        <v>#REF!</v>
      </c>
      <c r="Z450" s="471"/>
      <c r="AA450" s="471"/>
    </row>
    <row r="451" spans="1:40" s="457" customFormat="1" ht="15.75" customHeight="1" x14ac:dyDescent="0.15">
      <c r="A451" s="547"/>
      <c r="B451" s="901"/>
      <c r="C451" s="902"/>
      <c r="D451" s="909"/>
      <c r="E451" s="910"/>
      <c r="F451" s="904"/>
      <c r="G451" s="912"/>
      <c r="H451" s="463" t="str">
        <f t="shared" si="512"/>
        <v/>
      </c>
      <c r="I451" s="500"/>
      <c r="J451" s="501" t="s">
        <v>353</v>
      </c>
      <c r="K451" s="501" t="s">
        <v>354</v>
      </c>
      <c r="L451" s="501" t="s">
        <v>353</v>
      </c>
      <c r="M451" s="502" t="s">
        <v>354</v>
      </c>
      <c r="N451" s="501" t="s">
        <v>353</v>
      </c>
      <c r="O451" s="501" t="s">
        <v>354</v>
      </c>
      <c r="P451" s="503"/>
      <c r="Q451" s="745"/>
      <c r="R451" s="745"/>
      <c r="S451" s="504"/>
      <c r="T451" s="470" t="str">
        <f t="shared" si="540"/>
        <v/>
      </c>
      <c r="V451" s="547"/>
      <c r="W451" s="471">
        <f t="shared" ref="W451:X451" si="549">W450</f>
        <v>18</v>
      </c>
      <c r="X451" s="471" t="e">
        <f t="shared" si="549"/>
        <v>#REF!</v>
      </c>
      <c r="Y451" s="471" t="e">
        <f t="shared" si="542"/>
        <v>#REF!</v>
      </c>
      <c r="Z451" s="471"/>
      <c r="AA451" s="471"/>
    </row>
    <row r="452" spans="1:40" s="457" customFormat="1" ht="15.75" customHeight="1" x14ac:dyDescent="0.15">
      <c r="A452" s="547"/>
      <c r="B452" s="95"/>
      <c r="C452" s="140" t="s">
        <v>837</v>
      </c>
      <c r="D452" s="95"/>
      <c r="E452" s="206" t="s">
        <v>838</v>
      </c>
      <c r="F452" s="94" t="s">
        <v>800</v>
      </c>
      <c r="G452" s="505">
        <f>TRUNC((15.71+2.77)*120%,4)</f>
        <v>22.175999999999998</v>
      </c>
      <c r="H452" s="463" t="str">
        <f>CONCATENATE(C452,E452,F452)</f>
        <v>용접봉3.2mm, CR-13Kg</v>
      </c>
      <c r="I452" s="451" t="str">
        <f>CONCATENATE(C452,E452,F452)</f>
        <v>용접봉3.2mm, CR-13Kg</v>
      </c>
      <c r="J452" s="506">
        <f>IF(OR($F452="인",$F452=""),"",VLOOKUP($H452,단가!$A:$S,19,FALSE))</f>
        <v>2784</v>
      </c>
      <c r="K452" s="507">
        <f t="shared" ref="K452:K461" si="550">IF(J452="","",TRUNC($G452*J452,0))</f>
        <v>61737</v>
      </c>
      <c r="L452" s="506" t="str">
        <f>IF($F452="인",VLOOKUP($C:$C,노임!$C:$G,4,FALSE),"")</f>
        <v/>
      </c>
      <c r="M452" s="507" t="str">
        <f t="shared" ref="M452:M461" si="551">IF(L452="","",TRUNC($G452*L452,0))</f>
        <v/>
      </c>
      <c r="N452" s="507"/>
      <c r="O452" s="507" t="str">
        <f t="shared" ref="O452:O461" si="552">IF(N452="","",TRUNC($G452*N452,0))</f>
        <v/>
      </c>
      <c r="P452" s="508"/>
      <c r="Q452" s="509" t="str">
        <f>IF(F452="인","노임"&amp;VLOOKUP($C:$C,노임!C:G,5,FALSE)&amp;"번","단가"&amp;VLOOKUP($H:$H,단가!$A:$B,2,FALSE)&amp;"번")</f>
        <v>단가55번</v>
      </c>
      <c r="R452" s="510"/>
      <c r="S452" s="131"/>
      <c r="T452" s="470" t="str">
        <f t="shared" si="540"/>
        <v>단가55번</v>
      </c>
      <c r="V452" s="548"/>
      <c r="W452" s="471">
        <f t="shared" ref="W452:X452" si="553">W451</f>
        <v>18</v>
      </c>
      <c r="X452" s="471" t="e">
        <f t="shared" si="553"/>
        <v>#REF!</v>
      </c>
      <c r="Y452" s="471" t="e">
        <f t="shared" si="542"/>
        <v>#REF!</v>
      </c>
      <c r="Z452" s="471"/>
      <c r="AA452" s="471"/>
    </row>
    <row r="453" spans="1:40" s="457" customFormat="1" ht="15.75" customHeight="1" x14ac:dyDescent="0.15">
      <c r="A453" s="470"/>
      <c r="B453" s="95"/>
      <c r="C453" s="140" t="s">
        <v>839</v>
      </c>
      <c r="D453" s="95"/>
      <c r="E453" s="141">
        <v>0.999</v>
      </c>
      <c r="F453" s="94" t="s">
        <v>840</v>
      </c>
      <c r="G453" s="556">
        <f>TRUNC((5355+945)*120%,4)</f>
        <v>7560</v>
      </c>
      <c r="H453" s="463" t="str">
        <f>CONCATENATE(C453,E453,F453)</f>
        <v>산소0.999ℓ</v>
      </c>
      <c r="I453" s="451" t="str">
        <f>CONCATENATE(C453,E453,F453)</f>
        <v>산소0.999ℓ</v>
      </c>
      <c r="J453" s="506">
        <f>IF(OR($F453="인",$F453=""),"",VLOOKUP($H453,단가!$A:$S,19,FALSE))</f>
        <v>1</v>
      </c>
      <c r="K453" s="507">
        <f t="shared" si="550"/>
        <v>7560</v>
      </c>
      <c r="L453" s="506" t="str">
        <f>IF($F453="인",VLOOKUP($C:$C,노임!$C:$G,4,FALSE),"")</f>
        <v/>
      </c>
      <c r="M453" s="507" t="str">
        <f t="shared" si="551"/>
        <v/>
      </c>
      <c r="N453" s="507"/>
      <c r="O453" s="507" t="str">
        <f t="shared" si="552"/>
        <v/>
      </c>
      <c r="P453" s="508"/>
      <c r="Q453" s="509" t="str">
        <f>IF(F453="인","노임"&amp;VLOOKUP($C:$C,노임!C:G,5,FALSE)&amp;"번","단가"&amp;VLOOKUP($H:$H,단가!$A:$B,2,FALSE)&amp;"번")</f>
        <v>단가60번</v>
      </c>
      <c r="R453" s="510"/>
      <c r="S453" s="131"/>
      <c r="T453" s="470" t="str">
        <f t="shared" si="540"/>
        <v>단가60번</v>
      </c>
      <c r="V453" s="548"/>
      <c r="W453" s="471">
        <f t="shared" ref="W453:X453" si="554">W452</f>
        <v>18</v>
      </c>
      <c r="X453" s="471" t="e">
        <f t="shared" si="554"/>
        <v>#REF!</v>
      </c>
      <c r="Y453" s="471" t="e">
        <f t="shared" si="542"/>
        <v>#REF!</v>
      </c>
      <c r="Z453" s="471"/>
      <c r="AA453" s="471"/>
    </row>
    <row r="454" spans="1:40" s="457" customFormat="1" ht="15.75" customHeight="1" x14ac:dyDescent="0.15">
      <c r="A454" s="470"/>
      <c r="B454" s="95"/>
      <c r="C454" s="140" t="s">
        <v>841</v>
      </c>
      <c r="D454" s="95"/>
      <c r="E454" s="141">
        <v>0.98</v>
      </c>
      <c r="F454" s="94" t="s">
        <v>800</v>
      </c>
      <c r="G454" s="505">
        <f>TRUNC((2.4+0.4)*120%,4)</f>
        <v>3.36</v>
      </c>
      <c r="H454" s="463" t="str">
        <f>CONCATENATE(C454,E454,F454)</f>
        <v>아세틸렌0.98Kg</v>
      </c>
      <c r="I454" s="451" t="str">
        <f>CONCATENATE(C454,E454,F454)</f>
        <v>아세틸렌0.98Kg</v>
      </c>
      <c r="J454" s="506">
        <f>IF(OR($F454="인",$F454=""),"",VLOOKUP($H454,단가!$A:$S,19,FALSE))</f>
        <v>10450</v>
      </c>
      <c r="K454" s="507">
        <f t="shared" si="550"/>
        <v>35112</v>
      </c>
      <c r="L454" s="506" t="str">
        <f>IF($F454="인",VLOOKUP($C:$C,노임!$C:$G,4,FALSE),"")</f>
        <v/>
      </c>
      <c r="M454" s="507" t="str">
        <f t="shared" si="551"/>
        <v/>
      </c>
      <c r="N454" s="507"/>
      <c r="O454" s="507" t="str">
        <f t="shared" si="552"/>
        <v/>
      </c>
      <c r="P454" s="508"/>
      <c r="Q454" s="509" t="str">
        <f>IF(F454="인","노임"&amp;VLOOKUP($C:$C,노임!C:G,5,FALSE)&amp;"번","단가"&amp;VLOOKUP($H:$H,단가!$A:$B,2,FALSE)&amp;"번")</f>
        <v>단가61번</v>
      </c>
      <c r="R454" s="510"/>
      <c r="S454" s="131"/>
      <c r="T454" s="470" t="str">
        <f t="shared" si="540"/>
        <v>단가61번</v>
      </c>
      <c r="U454" s="470"/>
      <c r="V454" s="549"/>
      <c r="W454" s="471">
        <f t="shared" ref="W454:X454" si="555">W453</f>
        <v>18</v>
      </c>
      <c r="X454" s="471" t="e">
        <f t="shared" si="555"/>
        <v>#REF!</v>
      </c>
      <c r="Y454" s="471" t="e">
        <f t="shared" si="542"/>
        <v>#REF!</v>
      </c>
      <c r="Z454" s="471"/>
      <c r="AA454" s="471"/>
      <c r="AC454" s="470"/>
      <c r="AD454" s="470"/>
      <c r="AE454" s="470"/>
      <c r="AF454" s="470"/>
      <c r="AG454" s="470"/>
      <c r="AH454" s="470"/>
      <c r="AI454" s="470"/>
      <c r="AJ454" s="470"/>
      <c r="AK454" s="470"/>
      <c r="AL454" s="470"/>
      <c r="AM454" s="470"/>
      <c r="AN454" s="470"/>
    </row>
    <row r="455" spans="1:40" s="470" customFormat="1" ht="15.75" customHeight="1" x14ac:dyDescent="0.15">
      <c r="B455" s="95"/>
      <c r="C455" s="140" t="s">
        <v>842</v>
      </c>
      <c r="D455" s="95"/>
      <c r="E455" s="141"/>
      <c r="F455" s="94" t="s">
        <v>843</v>
      </c>
      <c r="G455" s="505">
        <f>TRUNC((107.1+18.9)*120%,4)</f>
        <v>151.19999999999999</v>
      </c>
      <c r="H455" s="463" t="str">
        <f>CONCATENATE(C455,E455,F455)</f>
        <v>전력KWH</v>
      </c>
      <c r="I455" s="451"/>
      <c r="J455" s="506"/>
      <c r="K455" s="507" t="str">
        <f t="shared" si="550"/>
        <v/>
      </c>
      <c r="L455" s="506" t="str">
        <f>IF($F455="인",VLOOKUP($C:$C,노임!$C:$G,4,FALSE),"")</f>
        <v/>
      </c>
      <c r="M455" s="507" t="str">
        <f t="shared" si="551"/>
        <v/>
      </c>
      <c r="N455" s="506">
        <f>IF(OR($F455="인",$F455=""),"",VLOOKUP($H455,단가!$A:$S,19,FALSE))</f>
        <v>87</v>
      </c>
      <c r="O455" s="507">
        <f t="shared" si="552"/>
        <v>13154</v>
      </c>
      <c r="P455" s="508"/>
      <c r="Q455" s="509" t="str">
        <f>IF(F455="인","노임"&amp;VLOOKUP($C:$C,노임!C:G,5,FALSE)&amp;"번","단가"&amp;VLOOKUP($H:$H,단가!$A:$B,2,FALSE)&amp;"번")</f>
        <v>단가68번</v>
      </c>
      <c r="R455" s="513"/>
      <c r="S455" s="131"/>
      <c r="T455" s="470" t="str">
        <f t="shared" si="540"/>
        <v>단가68번</v>
      </c>
      <c r="V455" s="549"/>
      <c r="W455" s="471">
        <f t="shared" ref="W455:X455" si="556">W454</f>
        <v>18</v>
      </c>
      <c r="X455" s="471" t="e">
        <f t="shared" si="556"/>
        <v>#REF!</v>
      </c>
      <c r="Y455" s="471" t="e">
        <f t="shared" si="542"/>
        <v>#REF!</v>
      </c>
      <c r="Z455" s="471"/>
      <c r="AA455" s="471"/>
    </row>
    <row r="456" spans="1:40" s="470" customFormat="1" ht="15.75" customHeight="1" x14ac:dyDescent="0.15">
      <c r="B456" s="95"/>
      <c r="C456" s="140" t="s">
        <v>844</v>
      </c>
      <c r="D456" s="95"/>
      <c r="E456" s="141" t="s">
        <v>845</v>
      </c>
      <c r="F456" s="94" t="s">
        <v>799</v>
      </c>
      <c r="G456" s="505">
        <f>TRUNC((17.71+3.12)*120%,4)</f>
        <v>24.995999999999999</v>
      </c>
      <c r="H456" s="463" t="str">
        <f t="shared" ref="H456:H461" si="557">CONCATENATE(C456,E456,F456)</f>
        <v>용접기교류 500AMPHR</v>
      </c>
      <c r="I456" s="451" t="str">
        <f>CONCATENATE(C456,E456,F456)</f>
        <v>용접기교류 500AMPHR</v>
      </c>
      <c r="J456" s="506"/>
      <c r="K456" s="507" t="str">
        <f t="shared" si="550"/>
        <v/>
      </c>
      <c r="L456" s="506" t="str">
        <f>IF($F456="인",VLOOKUP($C:$C,노임!$C:$G,4,FALSE),"")</f>
        <v/>
      </c>
      <c r="M456" s="507" t="str">
        <f t="shared" si="551"/>
        <v/>
      </c>
      <c r="N456" s="506">
        <f>IF(OR($F456="인",$F456=""),"",VLOOKUP($H456,단가!$A:$S,19,FALSE))</f>
        <v>124</v>
      </c>
      <c r="O456" s="507">
        <f t="shared" si="552"/>
        <v>3099</v>
      </c>
      <c r="P456" s="508"/>
      <c r="Q456" s="509" t="str">
        <f>IF(F456="인","노임"&amp;VLOOKUP($C:$C,노임!C:G,5,FALSE)&amp;"번","단가"&amp;VLOOKUP($H:$H,단가!$A:$B,2,FALSE)&amp;"번")</f>
        <v>단가70번</v>
      </c>
      <c r="R456" s="510"/>
      <c r="S456" s="131"/>
      <c r="T456" s="470" t="str">
        <f t="shared" si="540"/>
        <v>단가70번</v>
      </c>
      <c r="V456" s="549"/>
      <c r="W456" s="471">
        <f t="shared" ref="W456:X456" si="558">W455</f>
        <v>18</v>
      </c>
      <c r="X456" s="471" t="e">
        <f t="shared" si="558"/>
        <v>#REF!</v>
      </c>
      <c r="Y456" s="471" t="e">
        <f t="shared" si="542"/>
        <v>#REF!</v>
      </c>
      <c r="Z456" s="471"/>
      <c r="AA456" s="471"/>
    </row>
    <row r="457" spans="1:40" s="470" customFormat="1" ht="15.75" customHeight="1" x14ac:dyDescent="0.15">
      <c r="B457" s="95"/>
      <c r="C457" s="140" t="s">
        <v>850</v>
      </c>
      <c r="D457" s="95"/>
      <c r="E457" s="141"/>
      <c r="F457" s="94" t="s">
        <v>750</v>
      </c>
      <c r="G457" s="505">
        <f>TRUNC((21.8+5.85)*120%,4)</f>
        <v>33.18</v>
      </c>
      <c r="H457" s="463" t="str">
        <f t="shared" si="557"/>
        <v>철판공인</v>
      </c>
      <c r="I457" s="451" t="str">
        <f>CONCATENATE(C457,E457,F457)</f>
        <v>철판공인</v>
      </c>
      <c r="J457" s="506" t="str">
        <f>IF(OR($F457="인",$F457=""),"",VLOOKUP($H457,단가!$A:$S,19,FALSE))</f>
        <v/>
      </c>
      <c r="K457" s="507" t="str">
        <f t="shared" si="550"/>
        <v/>
      </c>
      <c r="L457" s="506">
        <f>IF($F457="인",VLOOKUP($C:$C,노임!$C:$G,4,FALSE),"")</f>
        <v>148955</v>
      </c>
      <c r="M457" s="507">
        <f t="shared" si="551"/>
        <v>4942326</v>
      </c>
      <c r="N457" s="507"/>
      <c r="O457" s="507" t="str">
        <f t="shared" si="552"/>
        <v/>
      </c>
      <c r="P457" s="508"/>
      <c r="Q457" s="509" t="str">
        <f>IF(F457="인","노임"&amp;VLOOKUP($C:$C,노임!C:G,5,FALSE)&amp;"번","단가"&amp;VLOOKUP($H:$H,단가!$A:$B,2,FALSE)&amp;"번")</f>
        <v>노임1010번</v>
      </c>
      <c r="R457" s="510"/>
      <c r="S457" s="131"/>
      <c r="T457" s="470" t="str">
        <f t="shared" si="540"/>
        <v>노임1010번</v>
      </c>
      <c r="V457" s="549"/>
      <c r="W457" s="471">
        <f t="shared" ref="W457:X457" si="559">W456</f>
        <v>18</v>
      </c>
      <c r="X457" s="471" t="e">
        <f t="shared" si="559"/>
        <v>#REF!</v>
      </c>
      <c r="Y457" s="471" t="e">
        <f t="shared" si="542"/>
        <v>#REF!</v>
      </c>
      <c r="Z457" s="471"/>
      <c r="AA457" s="471"/>
    </row>
    <row r="458" spans="1:40" s="470" customFormat="1" ht="15.75" customHeight="1" x14ac:dyDescent="0.15">
      <c r="B458" s="95"/>
      <c r="C458" s="140" t="s">
        <v>374</v>
      </c>
      <c r="D458" s="95"/>
      <c r="E458" s="141"/>
      <c r="F458" s="94" t="s">
        <v>762</v>
      </c>
      <c r="G458" s="505">
        <f>TRUNC((2.21+0.39)*120%,4)</f>
        <v>3.12</v>
      </c>
      <c r="H458" s="463" t="str">
        <f t="shared" si="557"/>
        <v>용접공인</v>
      </c>
      <c r="I458" s="451" t="str">
        <f>CONCATENATE(C458,E458,F458)</f>
        <v>용접공인</v>
      </c>
      <c r="J458" s="506" t="str">
        <f>IF(OR($F458="인",$F458=""),"",VLOOKUP($H458,단가!$A:$S,19,FALSE))</f>
        <v/>
      </c>
      <c r="K458" s="507" t="str">
        <f t="shared" si="550"/>
        <v/>
      </c>
      <c r="L458" s="506">
        <f>IF($F458="인",VLOOKUP($C:$C,노임!$C:$G,4,FALSE),"")</f>
        <v>163001</v>
      </c>
      <c r="M458" s="507">
        <f t="shared" si="551"/>
        <v>508563</v>
      </c>
      <c r="N458" s="507"/>
      <c r="O458" s="507" t="str">
        <f t="shared" si="552"/>
        <v/>
      </c>
      <c r="P458" s="508"/>
      <c r="Q458" s="509" t="str">
        <f>IF(F458="인","노임"&amp;VLOOKUP($C:$C,노임!C:G,5,FALSE)&amp;"번","단가"&amp;VLOOKUP($H:$H,단가!$A:$B,2,FALSE)&amp;"번")</f>
        <v>노임1012번</v>
      </c>
      <c r="R458" s="510"/>
      <c r="S458" s="131"/>
      <c r="T458" s="470" t="str">
        <f t="shared" si="540"/>
        <v>노임1012번</v>
      </c>
      <c r="V458" s="549"/>
      <c r="W458" s="471">
        <f t="shared" ref="W458:X458" si="560">W457</f>
        <v>18</v>
      </c>
      <c r="X458" s="471" t="e">
        <f t="shared" si="560"/>
        <v>#REF!</v>
      </c>
      <c r="Y458" s="471" t="e">
        <f t="shared" si="542"/>
        <v>#REF!</v>
      </c>
      <c r="Z458" s="471"/>
      <c r="AA458" s="471"/>
    </row>
    <row r="459" spans="1:40" s="470" customFormat="1" ht="15.75" customHeight="1" x14ac:dyDescent="0.15">
      <c r="B459" s="95"/>
      <c r="C459" s="140" t="s">
        <v>847</v>
      </c>
      <c r="D459" s="95"/>
      <c r="E459" s="141"/>
      <c r="F459" s="94" t="s">
        <v>762</v>
      </c>
      <c r="G459" s="505">
        <f>TRUNC((0.63+0.11)*120%,4)</f>
        <v>0.88800000000000001</v>
      </c>
      <c r="H459" s="463" t="str">
        <f t="shared" si="557"/>
        <v>특별인부인</v>
      </c>
      <c r="I459" s="451" t="str">
        <f>CONCATENATE(C459,E459,F459)</f>
        <v>특별인부인</v>
      </c>
      <c r="J459" s="506" t="str">
        <f>IF(OR($F459="인",$F459=""),"",VLOOKUP($H459,단가!$A:$S,19,FALSE))</f>
        <v/>
      </c>
      <c r="K459" s="507" t="str">
        <f t="shared" si="550"/>
        <v/>
      </c>
      <c r="L459" s="506">
        <f>IF($F459="인",VLOOKUP($C:$C,노임!$C:$G,4,FALSE),"")</f>
        <v>127391</v>
      </c>
      <c r="M459" s="507">
        <f t="shared" si="551"/>
        <v>113123</v>
      </c>
      <c r="N459" s="507"/>
      <c r="O459" s="507" t="str">
        <f t="shared" si="552"/>
        <v/>
      </c>
      <c r="P459" s="508"/>
      <c r="Q459" s="509" t="str">
        <f>IF(F459="인","노임"&amp;VLOOKUP($C:$C,노임!C:G,5,FALSE)&amp;"번","단가"&amp;VLOOKUP($H:$H,단가!$A:$B,2,FALSE)&amp;"번")</f>
        <v>노임1003번</v>
      </c>
      <c r="R459" s="510"/>
      <c r="S459" s="131"/>
      <c r="T459" s="470" t="str">
        <f t="shared" si="540"/>
        <v>노임1003번</v>
      </c>
      <c r="V459" s="549"/>
      <c r="W459" s="471">
        <f t="shared" ref="W459:X459" si="561">W458</f>
        <v>18</v>
      </c>
      <c r="X459" s="471" t="e">
        <f t="shared" si="561"/>
        <v>#REF!</v>
      </c>
      <c r="Y459" s="471" t="e">
        <f t="shared" si="542"/>
        <v>#REF!</v>
      </c>
      <c r="Z459" s="471"/>
      <c r="AA459" s="471"/>
    </row>
    <row r="460" spans="1:40" s="470" customFormat="1" ht="15.75" customHeight="1" x14ac:dyDescent="0.15">
      <c r="B460" s="95"/>
      <c r="C460" s="140" t="s">
        <v>761</v>
      </c>
      <c r="D460" s="95"/>
      <c r="E460" s="141"/>
      <c r="F460" s="94" t="s">
        <v>762</v>
      </c>
      <c r="G460" s="505">
        <f>TRUNC((0.56+0.1)*120%,4)</f>
        <v>0.79200000000000004</v>
      </c>
      <c r="H460" s="463" t="str">
        <f t="shared" si="557"/>
        <v>보통인부인</v>
      </c>
      <c r="I460" s="451" t="str">
        <f>CONCATENATE(C460,E460,F460)</f>
        <v>보통인부인</v>
      </c>
      <c r="J460" s="506" t="str">
        <f>IF(OR($F460="인",$F460=""),"",VLOOKUP($H460,단가!$A:$S,19,FALSE))</f>
        <v/>
      </c>
      <c r="K460" s="507" t="str">
        <f t="shared" si="550"/>
        <v/>
      </c>
      <c r="L460" s="506">
        <f>IF($F460="인",VLOOKUP($C:$C,노임!$C:$G,4,FALSE),"")</f>
        <v>106846</v>
      </c>
      <c r="M460" s="507">
        <f t="shared" si="551"/>
        <v>84622</v>
      </c>
      <c r="N460" s="507"/>
      <c r="O460" s="507" t="str">
        <f t="shared" si="552"/>
        <v/>
      </c>
      <c r="P460" s="508"/>
      <c r="Q460" s="509" t="str">
        <f>IF(F460="인","노임"&amp;VLOOKUP($C:$C,노임!C:G,5,FALSE)&amp;"번","단가"&amp;VLOOKUP($H:$H,단가!$A:$B,2,FALSE)&amp;"번")</f>
        <v>노임1002번</v>
      </c>
      <c r="R460" s="510"/>
      <c r="S460" s="131"/>
      <c r="T460" s="470" t="str">
        <f t="shared" si="540"/>
        <v>노임1002번</v>
      </c>
      <c r="V460" s="549"/>
      <c r="W460" s="471">
        <f t="shared" ref="W460:X460" si="562">W459</f>
        <v>18</v>
      </c>
      <c r="X460" s="471" t="e">
        <f t="shared" si="562"/>
        <v>#REF!</v>
      </c>
      <c r="Y460" s="471" t="e">
        <f t="shared" si="542"/>
        <v>#REF!</v>
      </c>
      <c r="Z460" s="471"/>
      <c r="AA460" s="471"/>
    </row>
    <row r="461" spans="1:40" s="470" customFormat="1" ht="15.75" customHeight="1" x14ac:dyDescent="0.15">
      <c r="B461" s="95"/>
      <c r="C461" s="140" t="s">
        <v>373</v>
      </c>
      <c r="D461" s="95"/>
      <c r="E461" s="141" t="s">
        <v>517</v>
      </c>
      <c r="F461" s="94" t="s">
        <v>811</v>
      </c>
      <c r="G461" s="556">
        <v>1</v>
      </c>
      <c r="H461" s="463" t="str">
        <f t="shared" si="557"/>
        <v>공구손료인력품의 3%식</v>
      </c>
      <c r="I461" s="451"/>
      <c r="J461" s="506">
        <f>TRUNC(SUM(M457:M460)*3%,0)</f>
        <v>169459</v>
      </c>
      <c r="K461" s="507">
        <f t="shared" si="550"/>
        <v>169459</v>
      </c>
      <c r="L461" s="506"/>
      <c r="M461" s="507" t="str">
        <f t="shared" si="551"/>
        <v/>
      </c>
      <c r="N461" s="507"/>
      <c r="O461" s="507" t="str">
        <f t="shared" si="552"/>
        <v/>
      </c>
      <c r="P461" s="508"/>
      <c r="Q461" s="512"/>
      <c r="R461" s="513"/>
      <c r="S461" s="131"/>
      <c r="T461" s="470" t="str">
        <f t="shared" si="540"/>
        <v/>
      </c>
      <c r="V461" s="549"/>
      <c r="W461" s="471">
        <f t="shared" ref="W461:X461" si="563">W460</f>
        <v>18</v>
      </c>
      <c r="X461" s="471" t="e">
        <f t="shared" si="563"/>
        <v>#REF!</v>
      </c>
      <c r="Y461" s="471" t="e">
        <f t="shared" si="542"/>
        <v>#REF!</v>
      </c>
      <c r="Z461" s="471"/>
      <c r="AA461" s="471"/>
    </row>
    <row r="462" spans="1:40" s="470" customFormat="1" ht="15.75" customHeight="1" x14ac:dyDescent="0.15">
      <c r="B462" s="95"/>
      <c r="C462" s="140"/>
      <c r="D462" s="95"/>
      <c r="E462" s="141"/>
      <c r="F462" s="94"/>
      <c r="G462" s="556"/>
      <c r="H462" s="463" t="str">
        <f t="shared" ref="H462:H469" si="564">CONCATENATE(C462,E462,F462)</f>
        <v/>
      </c>
      <c r="I462" s="451"/>
      <c r="J462" s="506"/>
      <c r="K462" s="507"/>
      <c r="L462" s="506"/>
      <c r="M462" s="507"/>
      <c r="N462" s="507"/>
      <c r="O462" s="507"/>
      <c r="P462" s="508"/>
      <c r="Q462" s="512"/>
      <c r="R462" s="513"/>
      <c r="S462" s="131"/>
      <c r="T462" s="470" t="str">
        <f t="shared" si="540"/>
        <v/>
      </c>
      <c r="V462" s="549"/>
      <c r="W462" s="471">
        <f t="shared" ref="W462:X462" si="565">W461</f>
        <v>18</v>
      </c>
      <c r="X462" s="471" t="e">
        <f t="shared" si="565"/>
        <v>#REF!</v>
      </c>
      <c r="Y462" s="471" t="e">
        <f t="shared" si="542"/>
        <v>#REF!</v>
      </c>
      <c r="Z462" s="471"/>
      <c r="AA462" s="471"/>
    </row>
    <row r="463" spans="1:40" s="470" customFormat="1" ht="15.75" customHeight="1" x14ac:dyDescent="0.15">
      <c r="B463" s="95"/>
      <c r="C463" s="140"/>
      <c r="D463" s="95"/>
      <c r="E463" s="141"/>
      <c r="F463" s="94"/>
      <c r="G463" s="556"/>
      <c r="H463" s="463" t="str">
        <f t="shared" si="564"/>
        <v/>
      </c>
      <c r="I463" s="451"/>
      <c r="J463" s="506"/>
      <c r="K463" s="507"/>
      <c r="L463" s="506"/>
      <c r="M463" s="507"/>
      <c r="N463" s="507"/>
      <c r="O463" s="507"/>
      <c r="P463" s="508"/>
      <c r="Q463" s="512"/>
      <c r="R463" s="513"/>
      <c r="S463" s="131"/>
      <c r="T463" s="470" t="str">
        <f t="shared" si="540"/>
        <v/>
      </c>
      <c r="V463" s="549"/>
      <c r="W463" s="471">
        <f t="shared" ref="W463:X463" si="566">W462</f>
        <v>18</v>
      </c>
      <c r="X463" s="471" t="e">
        <f t="shared" si="566"/>
        <v>#REF!</v>
      </c>
      <c r="Y463" s="471" t="e">
        <f t="shared" si="542"/>
        <v>#REF!</v>
      </c>
      <c r="Z463" s="471"/>
      <c r="AA463" s="471"/>
    </row>
    <row r="464" spans="1:40" s="470" customFormat="1" ht="15.75" customHeight="1" x14ac:dyDescent="0.15">
      <c r="B464" s="95"/>
      <c r="C464" s="140"/>
      <c r="D464" s="95"/>
      <c r="E464" s="141"/>
      <c r="F464" s="94"/>
      <c r="G464" s="556"/>
      <c r="H464" s="463" t="str">
        <f t="shared" si="564"/>
        <v/>
      </c>
      <c r="I464" s="451"/>
      <c r="J464" s="506"/>
      <c r="K464" s="507"/>
      <c r="L464" s="506"/>
      <c r="M464" s="507"/>
      <c r="N464" s="507"/>
      <c r="O464" s="507"/>
      <c r="P464" s="508"/>
      <c r="Q464" s="512"/>
      <c r="R464" s="513"/>
      <c r="S464" s="131"/>
      <c r="T464" s="470" t="str">
        <f t="shared" si="540"/>
        <v/>
      </c>
      <c r="V464" s="549"/>
      <c r="W464" s="471">
        <f t="shared" ref="W464:X464" si="567">W463</f>
        <v>18</v>
      </c>
      <c r="X464" s="471" t="e">
        <f t="shared" si="567"/>
        <v>#REF!</v>
      </c>
      <c r="Y464" s="471" t="e">
        <f t="shared" si="542"/>
        <v>#REF!</v>
      </c>
      <c r="Z464" s="471"/>
      <c r="AA464" s="471"/>
    </row>
    <row r="465" spans="1:40" s="470" customFormat="1" ht="15.75" customHeight="1" x14ac:dyDescent="0.15">
      <c r="B465" s="95"/>
      <c r="C465" s="140"/>
      <c r="D465" s="95"/>
      <c r="E465" s="141"/>
      <c r="F465" s="94"/>
      <c r="G465" s="556"/>
      <c r="H465" s="463" t="str">
        <f t="shared" si="564"/>
        <v/>
      </c>
      <c r="I465" s="451"/>
      <c r="J465" s="506"/>
      <c r="K465" s="507"/>
      <c r="L465" s="506"/>
      <c r="M465" s="507"/>
      <c r="N465" s="507"/>
      <c r="O465" s="507"/>
      <c r="P465" s="508"/>
      <c r="Q465" s="512"/>
      <c r="R465" s="513"/>
      <c r="S465" s="131"/>
      <c r="T465" s="470" t="str">
        <f t="shared" si="540"/>
        <v/>
      </c>
      <c r="V465" s="549"/>
      <c r="W465" s="471">
        <f t="shared" ref="W465:X465" si="568">W464</f>
        <v>18</v>
      </c>
      <c r="X465" s="471" t="e">
        <f t="shared" si="568"/>
        <v>#REF!</v>
      </c>
      <c r="Y465" s="471" t="e">
        <f t="shared" si="542"/>
        <v>#REF!</v>
      </c>
      <c r="Z465" s="471"/>
      <c r="AA465" s="471"/>
    </row>
    <row r="466" spans="1:40" s="470" customFormat="1" ht="15.75" customHeight="1" x14ac:dyDescent="0.15">
      <c r="B466" s="514" t="s">
        <v>763</v>
      </c>
      <c r="C466" s="515"/>
      <c r="D466" s="516"/>
      <c r="E466" s="517" t="s">
        <v>848</v>
      </c>
      <c r="F466" s="518"/>
      <c r="G466" s="557"/>
      <c r="H466" s="463" t="str">
        <f t="shared" si="564"/>
        <v>Kg당기준</v>
      </c>
      <c r="I466" s="520">
        <f>목록!$B$23</f>
        <v>18</v>
      </c>
      <c r="J466" s="521"/>
      <c r="K466" s="522">
        <f>TRUNC(K467/1000,0)</f>
        <v>273</v>
      </c>
      <c r="L466" s="521"/>
      <c r="M466" s="522">
        <f>TRUNC(M467/1000,0)</f>
        <v>5648</v>
      </c>
      <c r="N466" s="521"/>
      <c r="O466" s="522">
        <f>TRUNC(O467/1000,0)</f>
        <v>16</v>
      </c>
      <c r="P466" s="523"/>
      <c r="Q466" s="512"/>
      <c r="R466" s="513"/>
      <c r="S466" s="524"/>
      <c r="T466" s="470" t="str">
        <f t="shared" si="540"/>
        <v/>
      </c>
      <c r="V466" s="549"/>
      <c r="W466" s="471">
        <f t="shared" ref="W466:X466" si="569">W465</f>
        <v>18</v>
      </c>
      <c r="X466" s="471" t="e">
        <f t="shared" si="569"/>
        <v>#REF!</v>
      </c>
      <c r="Y466" s="471" t="e">
        <f t="shared" si="542"/>
        <v>#REF!</v>
      </c>
      <c r="Z466" s="471"/>
      <c r="AA466" s="471"/>
    </row>
    <row r="467" spans="1:40" s="470" customFormat="1" ht="15.75" customHeight="1" x14ac:dyDescent="0.15">
      <c r="A467" s="457"/>
      <c r="B467" s="514" t="s">
        <v>763</v>
      </c>
      <c r="C467" s="515"/>
      <c r="D467" s="95"/>
      <c r="E467" s="141" t="s">
        <v>849</v>
      </c>
      <c r="F467" s="94"/>
      <c r="G467" s="556"/>
      <c r="H467" s="463" t="str">
        <f t="shared" si="564"/>
        <v>TON당기준</v>
      </c>
      <c r="I467" s="451"/>
      <c r="J467" s="506"/>
      <c r="K467" s="507">
        <f>SUM(K452:K465)</f>
        <v>273868</v>
      </c>
      <c r="L467" s="506"/>
      <c r="M467" s="507">
        <f>SUM(M452:M465)</f>
        <v>5648634</v>
      </c>
      <c r="N467" s="507"/>
      <c r="O467" s="507">
        <f>SUM(O452:O465)</f>
        <v>16253</v>
      </c>
      <c r="P467" s="508"/>
      <c r="Q467" s="512"/>
      <c r="R467" s="513"/>
      <c r="S467" s="131"/>
      <c r="T467" s="470" t="str">
        <f t="shared" si="540"/>
        <v/>
      </c>
      <c r="V467" s="549"/>
      <c r="W467" s="615">
        <f t="shared" ref="W467:X467" si="570">W466</f>
        <v>18</v>
      </c>
      <c r="X467" s="471" t="e">
        <f t="shared" si="570"/>
        <v>#REF!</v>
      </c>
      <c r="Y467" s="471" t="e">
        <f t="shared" si="542"/>
        <v>#REF!</v>
      </c>
      <c r="Z467" s="471"/>
      <c r="AA467" s="471"/>
    </row>
    <row r="468" spans="1:40" s="470" customFormat="1" ht="15.75" customHeight="1" x14ac:dyDescent="0.15">
      <c r="B468" s="453"/>
      <c r="C468" s="209" t="s">
        <v>1020</v>
      </c>
      <c r="D468" s="95"/>
      <c r="E468" s="141"/>
      <c r="F468" s="94"/>
      <c r="G468" s="556"/>
      <c r="H468" s="463" t="str">
        <f t="shared" si="564"/>
        <v>※ 건축표준품셈 : 14-5 각종 잡철물 제작 설치, 철판공 품셈적용(보통기준 적용)</v>
      </c>
      <c r="I468" s="451"/>
      <c r="J468" s="506"/>
      <c r="K468" s="507"/>
      <c r="L468" s="506"/>
      <c r="M468" s="507"/>
      <c r="N468" s="507"/>
      <c r="O468" s="507"/>
      <c r="P468" s="508"/>
      <c r="Q468" s="512"/>
      <c r="R468" s="513"/>
      <c r="S468" s="131"/>
      <c r="T468" s="470" t="str">
        <f t="shared" si="540"/>
        <v/>
      </c>
      <c r="U468" s="457"/>
      <c r="V468" s="551"/>
      <c r="W468" s="471">
        <f t="shared" ref="W468:X468" si="571">W467</f>
        <v>18</v>
      </c>
      <c r="X468" s="471" t="e">
        <f t="shared" si="571"/>
        <v>#REF!</v>
      </c>
      <c r="Y468" s="471" t="e">
        <f t="shared" si="542"/>
        <v>#REF!</v>
      </c>
      <c r="Z468" s="471"/>
      <c r="AA468" s="471"/>
      <c r="AB468" s="457"/>
      <c r="AC468" s="457"/>
      <c r="AD468" s="457"/>
      <c r="AE468" s="457"/>
      <c r="AF468" s="457"/>
      <c r="AG468" s="457"/>
      <c r="AH468" s="457"/>
      <c r="AI468" s="457"/>
      <c r="AJ468" s="457"/>
      <c r="AK468" s="457"/>
      <c r="AL468" s="457"/>
      <c r="AM468" s="457"/>
      <c r="AN468" s="457"/>
    </row>
    <row r="469" spans="1:40" s="457" customFormat="1" ht="15.75" customHeight="1" x14ac:dyDescent="0.15">
      <c r="A469" s="470"/>
      <c r="B469" s="514"/>
      <c r="C469" s="209" t="s">
        <v>1021</v>
      </c>
      <c r="D469" s="516"/>
      <c r="E469" s="517"/>
      <c r="F469" s="518"/>
      <c r="G469" s="557"/>
      <c r="H469" s="463" t="str">
        <f t="shared" si="564"/>
        <v>※ 강판의 가공설치 시 철공 대신 철판공을 적용한다.</v>
      </c>
      <c r="I469" s="520"/>
      <c r="J469" s="521"/>
      <c r="K469" s="522"/>
      <c r="L469" s="521"/>
      <c r="M469" s="522"/>
      <c r="N469" s="521"/>
      <c r="O469" s="522"/>
      <c r="P469" s="523"/>
      <c r="Q469" s="512"/>
      <c r="R469" s="513"/>
      <c r="S469" s="524"/>
      <c r="T469" s="470" t="str">
        <f t="shared" si="540"/>
        <v/>
      </c>
      <c r="U469" s="470"/>
      <c r="V469" s="551"/>
      <c r="W469" s="471">
        <f t="shared" ref="W469:X469" si="572">W468</f>
        <v>18</v>
      </c>
      <c r="X469" s="471" t="e">
        <f t="shared" si="572"/>
        <v>#REF!</v>
      </c>
      <c r="Y469" s="471" t="e">
        <f t="shared" si="542"/>
        <v>#REF!</v>
      </c>
      <c r="Z469" s="471"/>
      <c r="AA469" s="471"/>
      <c r="AB469" s="470"/>
      <c r="AC469" s="470"/>
      <c r="AD469" s="470"/>
      <c r="AE469" s="470"/>
      <c r="AF469" s="470"/>
      <c r="AG469" s="470"/>
      <c r="AH469" s="470"/>
      <c r="AI469" s="470"/>
      <c r="AJ469" s="470"/>
      <c r="AK469" s="470"/>
      <c r="AL469" s="470"/>
      <c r="AM469" s="470"/>
      <c r="AN469" s="470"/>
    </row>
    <row r="470" spans="1:40" s="470" customFormat="1" ht="15.75" customHeight="1" x14ac:dyDescent="0.15">
      <c r="A470" s="457"/>
      <c r="B470" s="457"/>
      <c r="C470" s="458"/>
      <c r="D470" s="459"/>
      <c r="E470" s="460"/>
      <c r="F470" s="461"/>
      <c r="G470" s="553"/>
      <c r="H470" s="463" t="str">
        <f t="shared" ref="H470:H495" si="573">CONCATENATE(C470,E470,F470)</f>
        <v/>
      </c>
      <c r="I470" s="464"/>
      <c r="J470" s="465"/>
      <c r="K470" s="465"/>
      <c r="L470" s="465"/>
      <c r="M470" s="465"/>
      <c r="N470" s="465"/>
      <c r="O470" s="466"/>
      <c r="P470" s="467"/>
      <c r="Q470" s="468"/>
      <c r="R470" s="469"/>
      <c r="S470" s="467"/>
      <c r="T470" s="470" t="str">
        <f t="shared" ref="T470:T495" si="574">CONCATENATE(Q470,R470)</f>
        <v/>
      </c>
      <c r="W470" s="533">
        <f t="shared" ref="W470" si="575">I492</f>
        <v>19</v>
      </c>
      <c r="X470" s="533" t="e">
        <f>#REF!+1</f>
        <v>#REF!</v>
      </c>
      <c r="Y470" s="533" t="e">
        <f t="shared" ref="Y470:Y495" si="576">X470-W470</f>
        <v>#REF!</v>
      </c>
      <c r="Z470" s="533"/>
      <c r="AA470" s="533"/>
    </row>
    <row r="471" spans="1:40" s="470" customFormat="1" ht="15.75" customHeight="1" x14ac:dyDescent="0.15">
      <c r="A471" s="457"/>
      <c r="B471" s="473"/>
      <c r="C471" s="474" t="str">
        <f>"   항목번호 : "&amp;목록!L$25</f>
        <v xml:space="preserve">   항목번호 : 제19호표</v>
      </c>
      <c r="D471" s="475">
        <f>목록!B$25</f>
        <v>19</v>
      </c>
      <c r="E471" s="476"/>
      <c r="F471" s="477"/>
      <c r="G471" s="554"/>
      <c r="H471" s="463" t="str">
        <f t="shared" si="573"/>
        <v xml:space="preserve">   항목번호 : 제19호표</v>
      </c>
      <c r="I471" s="479"/>
      <c r="J471" s="480"/>
      <c r="K471" s="481"/>
      <c r="L471" s="482"/>
      <c r="M471" s="482"/>
      <c r="N471" s="482"/>
      <c r="O471" s="466"/>
      <c r="P471" s="483"/>
      <c r="Q471" s="484"/>
      <c r="R471" s="485"/>
      <c r="S471" s="483"/>
      <c r="T471" s="470" t="str">
        <f t="shared" si="574"/>
        <v/>
      </c>
      <c r="U471" s="457"/>
      <c r="V471" s="551"/>
      <c r="W471" s="471">
        <f t="shared" ref="W471:X471" si="577">W470</f>
        <v>19</v>
      </c>
      <c r="X471" s="471" t="e">
        <f t="shared" si="577"/>
        <v>#REF!</v>
      </c>
      <c r="Y471" s="471" t="e">
        <f t="shared" si="576"/>
        <v>#REF!</v>
      </c>
      <c r="Z471" s="471"/>
      <c r="AA471" s="471"/>
      <c r="AB471" s="457"/>
      <c r="AC471" s="457"/>
      <c r="AD471" s="457"/>
      <c r="AE471" s="457"/>
      <c r="AF471" s="457"/>
      <c r="AG471" s="457"/>
      <c r="AH471" s="457"/>
      <c r="AI471" s="457"/>
      <c r="AJ471" s="457"/>
      <c r="AK471" s="457"/>
      <c r="AL471" s="457"/>
      <c r="AM471" s="457"/>
      <c r="AN471" s="457"/>
    </row>
    <row r="472" spans="1:40" s="457" customFormat="1" ht="15.75" customHeight="1" x14ac:dyDescent="0.15">
      <c r="B472" s="473"/>
      <c r="C472" s="474" t="str">
        <f>"   공      종 : "&amp;목록!D$25</f>
        <v xml:space="preserve">   공      종 : 앵커볼트</v>
      </c>
      <c r="D472" s="484"/>
      <c r="E472" s="476"/>
      <c r="F472" s="473"/>
      <c r="G472" s="554"/>
      <c r="H472" s="463" t="str">
        <f t="shared" si="573"/>
        <v xml:space="preserve">   공      종 : 앵커볼트</v>
      </c>
      <c r="I472" s="479"/>
      <c r="J472" s="480"/>
      <c r="K472" s="481"/>
      <c r="L472" s="482"/>
      <c r="M472" s="482"/>
      <c r="N472" s="482"/>
      <c r="O472" s="466"/>
      <c r="P472" s="483"/>
      <c r="Q472" s="484"/>
      <c r="R472" s="485"/>
      <c r="S472" s="483"/>
      <c r="T472" s="470" t="str">
        <f t="shared" si="574"/>
        <v/>
      </c>
      <c r="V472" s="470"/>
      <c r="W472" s="471">
        <f t="shared" ref="W472:X472" si="578">W471</f>
        <v>19</v>
      </c>
      <c r="X472" s="471" t="e">
        <f t="shared" si="578"/>
        <v>#REF!</v>
      </c>
      <c r="Y472" s="471" t="e">
        <f t="shared" si="576"/>
        <v>#REF!</v>
      </c>
      <c r="Z472" s="471"/>
      <c r="AA472" s="471"/>
    </row>
    <row r="473" spans="1:40" s="457" customFormat="1" ht="15.75" customHeight="1" x14ac:dyDescent="0.15">
      <c r="B473" s="473"/>
      <c r="C473" s="474" t="str">
        <f xml:space="preserve"> "   규      격 : "&amp;목록!F$25</f>
        <v xml:space="preserve">   규      격 : </v>
      </c>
      <c r="D473" s="484"/>
      <c r="E473" s="476"/>
      <c r="F473" s="473"/>
      <c r="G473" s="554"/>
      <c r="H473" s="463" t="str">
        <f t="shared" si="573"/>
        <v xml:space="preserve">   규      격 : </v>
      </c>
      <c r="I473" s="479"/>
      <c r="J473" s="480" t="s">
        <v>348</v>
      </c>
      <c r="K473" s="481"/>
      <c r="L473" s="482" t="s">
        <v>349</v>
      </c>
      <c r="M473" s="482"/>
      <c r="N473" s="482" t="s">
        <v>240</v>
      </c>
      <c r="O473" s="466"/>
      <c r="P473" s="483"/>
      <c r="Q473" s="484" t="s">
        <v>808</v>
      </c>
      <c r="R473" s="484"/>
      <c r="S473" s="483"/>
      <c r="T473" s="470" t="str">
        <f t="shared" si="574"/>
        <v>합계</v>
      </c>
      <c r="V473" s="547"/>
      <c r="W473" s="471">
        <f t="shared" ref="W473:X473" si="579">W472</f>
        <v>19</v>
      </c>
      <c r="X473" s="471" t="e">
        <f t="shared" si="579"/>
        <v>#REF!</v>
      </c>
      <c r="Y473" s="471" t="e">
        <f t="shared" si="576"/>
        <v>#REF!</v>
      </c>
      <c r="Z473" s="471"/>
      <c r="AA473" s="471"/>
    </row>
    <row r="474" spans="1:40" s="457" customFormat="1" ht="15.75" customHeight="1" x14ac:dyDescent="0.15">
      <c r="B474" s="473"/>
      <c r="C474" s="474" t="str">
        <f>"   단      위 : "&amp;목록!G$25</f>
        <v xml:space="preserve">   단      위 : EA</v>
      </c>
      <c r="D474" s="484"/>
      <c r="E474" s="476"/>
      <c r="F474" s="473"/>
      <c r="G474" s="554"/>
      <c r="H474" s="463" t="str">
        <f t="shared" si="573"/>
        <v xml:space="preserve">   단      위 : EA</v>
      </c>
      <c r="I474" s="479"/>
      <c r="J474" s="486">
        <f>K492</f>
        <v>437</v>
      </c>
      <c r="K474" s="481"/>
      <c r="L474" s="487">
        <f>M492</f>
        <v>13111</v>
      </c>
      <c r="M474" s="482"/>
      <c r="N474" s="482">
        <f>O492</f>
        <v>0</v>
      </c>
      <c r="O474" s="466"/>
      <c r="P474" s="483"/>
      <c r="Q474" s="488">
        <f>J474+L474+N474</f>
        <v>13548</v>
      </c>
      <c r="R474" s="489"/>
      <c r="S474" s="483"/>
      <c r="T474" s="470" t="str">
        <f t="shared" si="574"/>
        <v>13548</v>
      </c>
      <c r="V474" s="547"/>
      <c r="W474" s="471">
        <f t="shared" ref="W474:X474" si="580">W473</f>
        <v>19</v>
      </c>
      <c r="X474" s="471" t="e">
        <f t="shared" si="580"/>
        <v>#REF!</v>
      </c>
      <c r="Y474" s="471" t="e">
        <f t="shared" si="576"/>
        <v>#REF!</v>
      </c>
      <c r="Z474" s="471"/>
      <c r="AA474" s="471"/>
    </row>
    <row r="475" spans="1:40" s="457" customFormat="1" ht="15.75" customHeight="1" x14ac:dyDescent="0.15">
      <c r="B475" s="473"/>
      <c r="C475" s="474"/>
      <c r="D475" s="484"/>
      <c r="E475" s="476"/>
      <c r="F475" s="473"/>
      <c r="G475" s="555"/>
      <c r="H475" s="463" t="str">
        <f t="shared" si="573"/>
        <v/>
      </c>
      <c r="I475" s="491"/>
      <c r="J475" s="482"/>
      <c r="K475" s="465"/>
      <c r="L475" s="482"/>
      <c r="M475" s="482"/>
      <c r="N475" s="482"/>
      <c r="O475" s="466"/>
      <c r="P475" s="492"/>
      <c r="Q475" s="493"/>
      <c r="R475" s="485"/>
      <c r="S475" s="492"/>
      <c r="T475" s="470" t="str">
        <f t="shared" si="574"/>
        <v/>
      </c>
      <c r="V475" s="547"/>
      <c r="W475" s="471">
        <f t="shared" ref="W475:X475" si="581">W474</f>
        <v>19</v>
      </c>
      <c r="X475" s="471" t="e">
        <f t="shared" si="581"/>
        <v>#REF!</v>
      </c>
      <c r="Y475" s="471" t="e">
        <f t="shared" si="576"/>
        <v>#REF!</v>
      </c>
      <c r="Z475" s="471"/>
      <c r="AA475" s="471"/>
    </row>
    <row r="476" spans="1:40" s="457" customFormat="1" ht="15.75" customHeight="1" x14ac:dyDescent="0.15">
      <c r="B476" s="899" t="s">
        <v>375</v>
      </c>
      <c r="C476" s="900"/>
      <c r="D476" s="907" t="s">
        <v>356</v>
      </c>
      <c r="E476" s="908"/>
      <c r="F476" s="903" t="s">
        <v>790</v>
      </c>
      <c r="G476" s="911" t="s">
        <v>791</v>
      </c>
      <c r="H476" s="463" t="str">
        <f t="shared" si="573"/>
        <v>단위</v>
      </c>
      <c r="I476" s="494"/>
      <c r="J476" s="495" t="s">
        <v>348</v>
      </c>
      <c r="K476" s="496"/>
      <c r="L476" s="495" t="s">
        <v>349</v>
      </c>
      <c r="M476" s="496"/>
      <c r="N476" s="497" t="s">
        <v>240</v>
      </c>
      <c r="O476" s="497"/>
      <c r="P476" s="498"/>
      <c r="Q476" s="744" t="s">
        <v>355</v>
      </c>
      <c r="R476" s="744"/>
      <c r="S476" s="499"/>
      <c r="T476" s="470" t="str">
        <f t="shared" si="574"/>
        <v>비  고</v>
      </c>
      <c r="V476" s="547"/>
      <c r="W476" s="471">
        <f t="shared" ref="W476:X476" si="582">W475</f>
        <v>19</v>
      </c>
      <c r="X476" s="471" t="e">
        <f t="shared" si="582"/>
        <v>#REF!</v>
      </c>
      <c r="Y476" s="471" t="e">
        <f t="shared" si="576"/>
        <v>#REF!</v>
      </c>
      <c r="Z476" s="471"/>
      <c r="AA476" s="471"/>
    </row>
    <row r="477" spans="1:40" s="457" customFormat="1" ht="15.75" customHeight="1" x14ac:dyDescent="0.15">
      <c r="A477" s="547"/>
      <c r="B477" s="901"/>
      <c r="C477" s="902"/>
      <c r="D477" s="909"/>
      <c r="E477" s="910"/>
      <c r="F477" s="904"/>
      <c r="G477" s="912"/>
      <c r="H477" s="463" t="str">
        <f t="shared" si="573"/>
        <v/>
      </c>
      <c r="I477" s="500"/>
      <c r="J477" s="501" t="s">
        <v>353</v>
      </c>
      <c r="K477" s="501" t="s">
        <v>354</v>
      </c>
      <c r="L477" s="501" t="s">
        <v>353</v>
      </c>
      <c r="M477" s="502" t="s">
        <v>354</v>
      </c>
      <c r="N477" s="501" t="s">
        <v>353</v>
      </c>
      <c r="O477" s="501" t="s">
        <v>354</v>
      </c>
      <c r="P477" s="503"/>
      <c r="Q477" s="745"/>
      <c r="R477" s="745"/>
      <c r="S477" s="504"/>
      <c r="T477" s="470" t="str">
        <f t="shared" si="574"/>
        <v/>
      </c>
      <c r="V477" s="547"/>
      <c r="W477" s="471">
        <f t="shared" ref="W477:X477" si="583">W476</f>
        <v>19</v>
      </c>
      <c r="X477" s="471" t="e">
        <f t="shared" si="583"/>
        <v>#REF!</v>
      </c>
      <c r="Y477" s="471" t="e">
        <f t="shared" si="576"/>
        <v>#REF!</v>
      </c>
      <c r="Z477" s="471"/>
      <c r="AA477" s="471"/>
    </row>
    <row r="478" spans="1:40" s="457" customFormat="1" ht="15.75" customHeight="1" x14ac:dyDescent="0.15">
      <c r="A478" s="547"/>
      <c r="B478" s="95"/>
      <c r="C478" s="140" t="s">
        <v>853</v>
      </c>
      <c r="D478" s="95"/>
      <c r="E478" s="141" t="s">
        <v>854</v>
      </c>
      <c r="F478" s="94" t="s">
        <v>755</v>
      </c>
      <c r="G478" s="556">
        <v>1</v>
      </c>
      <c r="H478" s="463" t="str">
        <f t="shared" si="573"/>
        <v>앙카볼트M16*150EA</v>
      </c>
      <c r="I478" s="451" t="str">
        <f>CONCATENATE(C478,E478,F478)</f>
        <v>앙카볼트M16*150EA</v>
      </c>
      <c r="J478" s="506">
        <f>IF(OR($F478="인",$F478=""),"",VLOOKUP($H478,단가!$A:$S,19,FALSE))</f>
        <v>437</v>
      </c>
      <c r="K478" s="507">
        <f>IF(J478="","",TRUNC($G478*J478,0))</f>
        <v>437</v>
      </c>
      <c r="L478" s="506" t="str">
        <f>IF($F478="인",VLOOKUP($C:$C,노임!$C:$G,4,FALSE),"")</f>
        <v/>
      </c>
      <c r="M478" s="507" t="str">
        <f>IF(L478="","",TRUNC($G478*L478,0))</f>
        <v/>
      </c>
      <c r="N478" s="507"/>
      <c r="O478" s="507" t="str">
        <f>IF(N478="","",TRUNC($G478*N478,0))</f>
        <v/>
      </c>
      <c r="P478" s="508"/>
      <c r="Q478" s="509" t="str">
        <f>IF(F478="인","노임"&amp;VLOOKUP($C:$C,노임!C:G,5,FALSE)&amp;"번","단가"&amp;VLOOKUP($H:$H,단가!$A:$B,2,FALSE)&amp;"번")</f>
        <v>단가3번</v>
      </c>
      <c r="R478" s="510"/>
      <c r="S478" s="131"/>
      <c r="T478" s="470" t="str">
        <f t="shared" si="574"/>
        <v>단가3번</v>
      </c>
      <c r="V478" s="548"/>
      <c r="W478" s="471">
        <f t="shared" ref="W478:X478" si="584">W477</f>
        <v>19</v>
      </c>
      <c r="X478" s="471" t="e">
        <f t="shared" si="584"/>
        <v>#REF!</v>
      </c>
      <c r="Y478" s="471" t="e">
        <f t="shared" si="576"/>
        <v>#REF!</v>
      </c>
      <c r="Z478" s="471"/>
      <c r="AA478" s="471"/>
    </row>
    <row r="479" spans="1:40" s="457" customFormat="1" ht="15.75" customHeight="1" x14ac:dyDescent="0.15">
      <c r="A479" s="470"/>
      <c r="B479" s="95"/>
      <c r="C479" s="140" t="s">
        <v>855</v>
      </c>
      <c r="D479" s="95"/>
      <c r="E479" s="141"/>
      <c r="F479" s="94" t="s">
        <v>856</v>
      </c>
      <c r="G479" s="556">
        <v>0.08</v>
      </c>
      <c r="H479" s="463" t="str">
        <f t="shared" si="573"/>
        <v>철골공인</v>
      </c>
      <c r="I479" s="451" t="str">
        <f>CONCATENATE(C479,E479,F479)</f>
        <v>철골공인</v>
      </c>
      <c r="J479" s="506" t="str">
        <f>IF(OR($F479="인",$F479=""),"",VLOOKUP($H479,단가!$A:$S,19,FALSE))</f>
        <v/>
      </c>
      <c r="K479" s="507" t="str">
        <f>IF(J479="","",TRUNC($G479*J479,0))</f>
        <v/>
      </c>
      <c r="L479" s="506">
        <f>IF($F479="인",VLOOKUP($C:$C,노임!$C:$G,4,FALSE),"")</f>
        <v>163899</v>
      </c>
      <c r="M479" s="507">
        <f>IF(L479="","",TRUNC($G479*L479,0))</f>
        <v>13111</v>
      </c>
      <c r="N479" s="507"/>
      <c r="O479" s="507" t="str">
        <f>IF(N479="","",TRUNC($G479*N479,0))</f>
        <v/>
      </c>
      <c r="P479" s="508"/>
      <c r="Q479" s="509" t="str">
        <f>IF(F479="인","노임"&amp;VLOOKUP($C:$C,노임!C:G,5,FALSE)&amp;"번","단가"&amp;VLOOKUP($H:$H,단가!$A:$B,2,FALSE)&amp;"번")</f>
        <v>노임1011번</v>
      </c>
      <c r="R479" s="510"/>
      <c r="S479" s="131"/>
      <c r="T479" s="470" t="str">
        <f t="shared" si="574"/>
        <v>노임1011번</v>
      </c>
      <c r="V479" s="548"/>
      <c r="W479" s="471">
        <f t="shared" ref="W479:X479" si="585">W478</f>
        <v>19</v>
      </c>
      <c r="X479" s="471" t="e">
        <f t="shared" si="585"/>
        <v>#REF!</v>
      </c>
      <c r="Y479" s="471" t="e">
        <f t="shared" si="576"/>
        <v>#REF!</v>
      </c>
      <c r="Z479" s="471"/>
      <c r="AA479" s="471"/>
    </row>
    <row r="480" spans="1:40" s="457" customFormat="1" ht="15.75" customHeight="1" x14ac:dyDescent="0.15">
      <c r="A480" s="470"/>
      <c r="B480" s="95"/>
      <c r="C480" s="140"/>
      <c r="D480" s="95"/>
      <c r="E480" s="141"/>
      <c r="F480" s="94"/>
      <c r="G480" s="556"/>
      <c r="H480" s="463" t="str">
        <f t="shared" si="573"/>
        <v/>
      </c>
      <c r="I480" s="451"/>
      <c r="J480" s="506"/>
      <c r="K480" s="507"/>
      <c r="L480" s="506"/>
      <c r="M480" s="507"/>
      <c r="N480" s="507"/>
      <c r="O480" s="507"/>
      <c r="P480" s="508"/>
      <c r="Q480" s="512"/>
      <c r="R480" s="534"/>
      <c r="S480" s="131"/>
      <c r="T480" s="470" t="str">
        <f t="shared" si="574"/>
        <v/>
      </c>
      <c r="U480" s="470"/>
      <c r="V480" s="549"/>
      <c r="W480" s="471">
        <f t="shared" ref="W480:X480" si="586">W479</f>
        <v>19</v>
      </c>
      <c r="X480" s="471" t="e">
        <f t="shared" si="586"/>
        <v>#REF!</v>
      </c>
      <c r="Y480" s="471" t="e">
        <f t="shared" si="576"/>
        <v>#REF!</v>
      </c>
      <c r="Z480" s="471"/>
      <c r="AA480" s="471"/>
      <c r="AB480" s="470"/>
      <c r="AC480" s="470"/>
      <c r="AD480" s="470"/>
      <c r="AE480" s="470"/>
      <c r="AF480" s="470"/>
      <c r="AG480" s="470"/>
      <c r="AH480" s="470"/>
      <c r="AI480" s="470"/>
      <c r="AJ480" s="470"/>
      <c r="AK480" s="470"/>
      <c r="AL480" s="470"/>
      <c r="AM480" s="470"/>
      <c r="AN480" s="470"/>
    </row>
    <row r="481" spans="1:40" s="470" customFormat="1" ht="15.75" customHeight="1" x14ac:dyDescent="0.15">
      <c r="B481" s="95"/>
      <c r="C481" s="140"/>
      <c r="D481" s="95"/>
      <c r="E481" s="141"/>
      <c r="F481" s="94"/>
      <c r="G481" s="556"/>
      <c r="H481" s="463" t="str">
        <f t="shared" si="573"/>
        <v/>
      </c>
      <c r="I481" s="451"/>
      <c r="J481" s="506"/>
      <c r="K481" s="507"/>
      <c r="L481" s="506"/>
      <c r="M481" s="507"/>
      <c r="N481" s="507"/>
      <c r="O481" s="507"/>
      <c r="P481" s="508"/>
      <c r="Q481" s="512"/>
      <c r="R481" s="534"/>
      <c r="S481" s="131"/>
      <c r="T481" s="470" t="str">
        <f t="shared" si="574"/>
        <v/>
      </c>
      <c r="V481" s="549"/>
      <c r="W481" s="471">
        <f t="shared" ref="W481:X481" si="587">W480</f>
        <v>19</v>
      </c>
      <c r="X481" s="471" t="e">
        <f t="shared" si="587"/>
        <v>#REF!</v>
      </c>
      <c r="Y481" s="471" t="e">
        <f t="shared" si="576"/>
        <v>#REF!</v>
      </c>
      <c r="Z481" s="471"/>
      <c r="AA481" s="471"/>
    </row>
    <row r="482" spans="1:40" s="470" customFormat="1" ht="15.75" customHeight="1" x14ac:dyDescent="0.15">
      <c r="B482" s="95"/>
      <c r="C482" s="140"/>
      <c r="D482" s="95"/>
      <c r="E482" s="141"/>
      <c r="F482" s="94"/>
      <c r="G482" s="556"/>
      <c r="H482" s="463" t="str">
        <f t="shared" si="573"/>
        <v/>
      </c>
      <c r="I482" s="451"/>
      <c r="J482" s="506"/>
      <c r="K482" s="507"/>
      <c r="L482" s="506"/>
      <c r="M482" s="507"/>
      <c r="N482" s="507"/>
      <c r="O482" s="507"/>
      <c r="P482" s="508"/>
      <c r="Q482" s="512"/>
      <c r="R482" s="534"/>
      <c r="S482" s="131"/>
      <c r="T482" s="470" t="str">
        <f t="shared" si="574"/>
        <v/>
      </c>
      <c r="V482" s="549"/>
      <c r="W482" s="471">
        <f t="shared" ref="W482:X482" si="588">W481</f>
        <v>19</v>
      </c>
      <c r="X482" s="471" t="e">
        <f t="shared" si="588"/>
        <v>#REF!</v>
      </c>
      <c r="Y482" s="471" t="e">
        <f t="shared" si="576"/>
        <v>#REF!</v>
      </c>
      <c r="Z482" s="471"/>
      <c r="AA482" s="471"/>
    </row>
    <row r="483" spans="1:40" s="470" customFormat="1" ht="15.75" customHeight="1" x14ac:dyDescent="0.15">
      <c r="B483" s="95"/>
      <c r="C483" s="140"/>
      <c r="D483" s="95"/>
      <c r="E483" s="141"/>
      <c r="F483" s="94"/>
      <c r="G483" s="556"/>
      <c r="H483" s="463" t="str">
        <f t="shared" si="573"/>
        <v/>
      </c>
      <c r="I483" s="451"/>
      <c r="J483" s="506"/>
      <c r="K483" s="507"/>
      <c r="L483" s="506"/>
      <c r="M483" s="507"/>
      <c r="N483" s="507"/>
      <c r="O483" s="507"/>
      <c r="P483" s="508"/>
      <c r="Q483" s="512"/>
      <c r="R483" s="534"/>
      <c r="S483" s="131"/>
      <c r="T483" s="470" t="str">
        <f t="shared" si="574"/>
        <v/>
      </c>
      <c r="V483" s="549"/>
      <c r="W483" s="471">
        <f t="shared" ref="W483:X483" si="589">W482</f>
        <v>19</v>
      </c>
      <c r="X483" s="471" t="e">
        <f t="shared" si="589"/>
        <v>#REF!</v>
      </c>
      <c r="Y483" s="471" t="e">
        <f t="shared" si="576"/>
        <v>#REF!</v>
      </c>
      <c r="Z483" s="471"/>
      <c r="AA483" s="471"/>
    </row>
    <row r="484" spans="1:40" s="470" customFormat="1" ht="15.75" customHeight="1" x14ac:dyDescent="0.15">
      <c r="B484" s="95"/>
      <c r="C484" s="140"/>
      <c r="D484" s="95"/>
      <c r="E484" s="141"/>
      <c r="F484" s="94"/>
      <c r="G484" s="556"/>
      <c r="H484" s="463" t="str">
        <f t="shared" si="573"/>
        <v/>
      </c>
      <c r="I484" s="451"/>
      <c r="J484" s="506"/>
      <c r="K484" s="507"/>
      <c r="L484" s="506"/>
      <c r="M484" s="507"/>
      <c r="N484" s="507"/>
      <c r="O484" s="507"/>
      <c r="P484" s="508"/>
      <c r="Q484" s="512"/>
      <c r="R484" s="513"/>
      <c r="S484" s="131"/>
      <c r="T484" s="470" t="str">
        <f t="shared" si="574"/>
        <v/>
      </c>
      <c r="V484" s="549"/>
      <c r="W484" s="471">
        <f t="shared" ref="W484:X484" si="590">W483</f>
        <v>19</v>
      </c>
      <c r="X484" s="471" t="e">
        <f t="shared" si="590"/>
        <v>#REF!</v>
      </c>
      <c r="Y484" s="471" t="e">
        <f t="shared" si="576"/>
        <v>#REF!</v>
      </c>
      <c r="Z484" s="471"/>
      <c r="AA484" s="471"/>
    </row>
    <row r="485" spans="1:40" s="470" customFormat="1" ht="15.75" customHeight="1" x14ac:dyDescent="0.15">
      <c r="B485" s="95"/>
      <c r="C485" s="140"/>
      <c r="D485" s="95"/>
      <c r="E485" s="141"/>
      <c r="F485" s="94"/>
      <c r="G485" s="556"/>
      <c r="H485" s="463" t="str">
        <f t="shared" si="573"/>
        <v/>
      </c>
      <c r="I485" s="451"/>
      <c r="J485" s="506"/>
      <c r="K485" s="507"/>
      <c r="L485" s="506"/>
      <c r="M485" s="507"/>
      <c r="N485" s="507"/>
      <c r="O485" s="507"/>
      <c r="P485" s="508"/>
      <c r="Q485" s="512"/>
      <c r="R485" s="534"/>
      <c r="S485" s="131"/>
      <c r="T485" s="470" t="str">
        <f t="shared" si="574"/>
        <v/>
      </c>
      <c r="V485" s="549"/>
      <c r="W485" s="471">
        <f t="shared" ref="W485:X485" si="591">W484</f>
        <v>19</v>
      </c>
      <c r="X485" s="471" t="e">
        <f t="shared" si="591"/>
        <v>#REF!</v>
      </c>
      <c r="Y485" s="471" t="e">
        <f t="shared" si="576"/>
        <v>#REF!</v>
      </c>
      <c r="Z485" s="471"/>
      <c r="AA485" s="471"/>
    </row>
    <row r="486" spans="1:40" s="470" customFormat="1" ht="15.75" customHeight="1" x14ac:dyDescent="0.15">
      <c r="B486" s="95"/>
      <c r="C486" s="140"/>
      <c r="D486" s="95"/>
      <c r="E486" s="141"/>
      <c r="F486" s="94"/>
      <c r="G486" s="556"/>
      <c r="H486" s="463" t="str">
        <f t="shared" si="573"/>
        <v/>
      </c>
      <c r="I486" s="451"/>
      <c r="J486" s="506"/>
      <c r="K486" s="507"/>
      <c r="L486" s="506"/>
      <c r="M486" s="507"/>
      <c r="N486" s="507"/>
      <c r="O486" s="507"/>
      <c r="P486" s="508"/>
      <c r="Q486" s="512"/>
      <c r="R486" s="513"/>
      <c r="S486" s="131"/>
      <c r="T486" s="470" t="str">
        <f t="shared" si="574"/>
        <v/>
      </c>
      <c r="V486" s="549"/>
      <c r="W486" s="471">
        <f t="shared" ref="W486:X486" si="592">W485</f>
        <v>19</v>
      </c>
      <c r="X486" s="471" t="e">
        <f t="shared" si="592"/>
        <v>#REF!</v>
      </c>
      <c r="Y486" s="471" t="e">
        <f t="shared" si="576"/>
        <v>#REF!</v>
      </c>
      <c r="Z486" s="471"/>
      <c r="AA486" s="471"/>
    </row>
    <row r="487" spans="1:40" s="470" customFormat="1" ht="15.75" customHeight="1" x14ac:dyDescent="0.15">
      <c r="B487" s="95"/>
      <c r="C487" s="140"/>
      <c r="D487" s="95"/>
      <c r="E487" s="141"/>
      <c r="F487" s="94"/>
      <c r="G487" s="556"/>
      <c r="H487" s="463" t="str">
        <f t="shared" si="573"/>
        <v/>
      </c>
      <c r="I487" s="451"/>
      <c r="J487" s="506"/>
      <c r="K487" s="507"/>
      <c r="L487" s="506"/>
      <c r="M487" s="507"/>
      <c r="N487" s="507"/>
      <c r="O487" s="507"/>
      <c r="P487" s="508"/>
      <c r="Q487" s="512"/>
      <c r="R487" s="513"/>
      <c r="S487" s="131"/>
      <c r="T487" s="470" t="str">
        <f t="shared" si="574"/>
        <v/>
      </c>
      <c r="V487" s="549"/>
      <c r="W487" s="471">
        <f t="shared" ref="W487:X487" si="593">W486</f>
        <v>19</v>
      </c>
      <c r="X487" s="471" t="e">
        <f t="shared" si="593"/>
        <v>#REF!</v>
      </c>
      <c r="Y487" s="471" t="e">
        <f t="shared" si="576"/>
        <v>#REF!</v>
      </c>
      <c r="Z487" s="471"/>
      <c r="AA487" s="471"/>
    </row>
    <row r="488" spans="1:40" s="470" customFormat="1" ht="15.75" customHeight="1" x14ac:dyDescent="0.15">
      <c r="B488" s="95"/>
      <c r="C488" s="140"/>
      <c r="D488" s="95"/>
      <c r="E488" s="141"/>
      <c r="F488" s="94"/>
      <c r="G488" s="556"/>
      <c r="H488" s="463" t="str">
        <f t="shared" si="573"/>
        <v/>
      </c>
      <c r="I488" s="451"/>
      <c r="J488" s="506"/>
      <c r="K488" s="507"/>
      <c r="L488" s="506"/>
      <c r="M488" s="507"/>
      <c r="N488" s="507"/>
      <c r="O488" s="507"/>
      <c r="P488" s="508"/>
      <c r="Q488" s="512"/>
      <c r="R488" s="513"/>
      <c r="S488" s="131"/>
      <c r="T488" s="470" t="str">
        <f t="shared" si="574"/>
        <v/>
      </c>
      <c r="V488" s="549"/>
      <c r="W488" s="471">
        <f t="shared" ref="W488:X488" si="594">W487</f>
        <v>19</v>
      </c>
      <c r="X488" s="471" t="e">
        <f t="shared" si="594"/>
        <v>#REF!</v>
      </c>
      <c r="Y488" s="471" t="e">
        <f t="shared" si="576"/>
        <v>#REF!</v>
      </c>
      <c r="Z488" s="471"/>
      <c r="AA488" s="471"/>
    </row>
    <row r="489" spans="1:40" s="470" customFormat="1" ht="15.75" customHeight="1" x14ac:dyDescent="0.15">
      <c r="B489" s="95"/>
      <c r="C489" s="140"/>
      <c r="D489" s="95"/>
      <c r="E489" s="141"/>
      <c r="F489" s="94"/>
      <c r="G489" s="556"/>
      <c r="H489" s="463" t="str">
        <f t="shared" si="573"/>
        <v/>
      </c>
      <c r="I489" s="451"/>
      <c r="J489" s="506"/>
      <c r="K489" s="507"/>
      <c r="L489" s="506"/>
      <c r="M489" s="507"/>
      <c r="N489" s="507"/>
      <c r="O489" s="507"/>
      <c r="P489" s="508"/>
      <c r="Q489" s="512"/>
      <c r="R489" s="513"/>
      <c r="S489" s="131"/>
      <c r="T489" s="470" t="str">
        <f t="shared" si="574"/>
        <v/>
      </c>
      <c r="V489" s="549"/>
      <c r="W489" s="471">
        <f t="shared" ref="W489:X489" si="595">W488</f>
        <v>19</v>
      </c>
      <c r="X489" s="471" t="e">
        <f t="shared" si="595"/>
        <v>#REF!</v>
      </c>
      <c r="Y489" s="471" t="e">
        <f t="shared" si="576"/>
        <v>#REF!</v>
      </c>
      <c r="Z489" s="471"/>
      <c r="AA489" s="471"/>
    </row>
    <row r="490" spans="1:40" s="470" customFormat="1" ht="15.75" customHeight="1" x14ac:dyDescent="0.15">
      <c r="B490" s="95"/>
      <c r="C490" s="140"/>
      <c r="D490" s="95"/>
      <c r="E490" s="141"/>
      <c r="F490" s="94"/>
      <c r="G490" s="556"/>
      <c r="H490" s="463" t="str">
        <f t="shared" si="573"/>
        <v/>
      </c>
      <c r="I490" s="451"/>
      <c r="J490" s="506"/>
      <c r="K490" s="507"/>
      <c r="L490" s="506"/>
      <c r="M490" s="507"/>
      <c r="N490" s="507"/>
      <c r="O490" s="507"/>
      <c r="P490" s="508"/>
      <c r="Q490" s="512"/>
      <c r="R490" s="513"/>
      <c r="S490" s="131"/>
      <c r="T490" s="470" t="str">
        <f t="shared" si="574"/>
        <v/>
      </c>
      <c r="V490" s="549"/>
      <c r="W490" s="471">
        <f t="shared" ref="W490:X490" si="596">W489</f>
        <v>19</v>
      </c>
      <c r="X490" s="471" t="e">
        <f t="shared" si="596"/>
        <v>#REF!</v>
      </c>
      <c r="Y490" s="471" t="e">
        <f t="shared" si="576"/>
        <v>#REF!</v>
      </c>
      <c r="Z490" s="471"/>
      <c r="AA490" s="471"/>
    </row>
    <row r="491" spans="1:40" s="470" customFormat="1" ht="15.75" customHeight="1" x14ac:dyDescent="0.15">
      <c r="B491" s="95"/>
      <c r="C491" s="140"/>
      <c r="D491" s="95"/>
      <c r="E491" s="141"/>
      <c r="F491" s="94"/>
      <c r="G491" s="556"/>
      <c r="H491" s="463" t="str">
        <f t="shared" si="573"/>
        <v/>
      </c>
      <c r="I491" s="451"/>
      <c r="J491" s="506"/>
      <c r="K491" s="507"/>
      <c r="L491" s="506"/>
      <c r="M491" s="507"/>
      <c r="N491" s="507"/>
      <c r="O491" s="507"/>
      <c r="P491" s="508"/>
      <c r="Q491" s="512"/>
      <c r="R491" s="513"/>
      <c r="S491" s="131"/>
      <c r="T491" s="470" t="str">
        <f t="shared" si="574"/>
        <v/>
      </c>
      <c r="V491" s="549"/>
      <c r="W491" s="471">
        <f t="shared" ref="W491:X491" si="597">W490</f>
        <v>19</v>
      </c>
      <c r="X491" s="471" t="e">
        <f t="shared" si="597"/>
        <v>#REF!</v>
      </c>
      <c r="Y491" s="471" t="e">
        <f t="shared" si="576"/>
        <v>#REF!</v>
      </c>
      <c r="Z491" s="471"/>
      <c r="AA491" s="471"/>
    </row>
    <row r="492" spans="1:40" s="470" customFormat="1" ht="15.75" customHeight="1" x14ac:dyDescent="0.15">
      <c r="B492" s="514" t="s">
        <v>797</v>
      </c>
      <c r="C492" s="515"/>
      <c r="D492" s="516"/>
      <c r="E492" s="517"/>
      <c r="F492" s="518"/>
      <c r="G492" s="557"/>
      <c r="H492" s="463" t="str">
        <f t="shared" si="573"/>
        <v/>
      </c>
      <c r="I492" s="520">
        <f>목록!$B$25</f>
        <v>19</v>
      </c>
      <c r="J492" s="521"/>
      <c r="K492" s="522">
        <f>SUM(K478:K491)</f>
        <v>437</v>
      </c>
      <c r="L492" s="521"/>
      <c r="M492" s="522">
        <f>SUM(M478:M491)</f>
        <v>13111</v>
      </c>
      <c r="N492" s="521"/>
      <c r="O492" s="522">
        <f>SUM(O478:O491)</f>
        <v>0</v>
      </c>
      <c r="P492" s="523"/>
      <c r="Q492" s="512"/>
      <c r="R492" s="513"/>
      <c r="S492" s="524"/>
      <c r="T492" s="470" t="str">
        <f t="shared" si="574"/>
        <v/>
      </c>
      <c r="V492" s="549"/>
      <c r="W492" s="471">
        <f t="shared" ref="W492:X492" si="598">W491</f>
        <v>19</v>
      </c>
      <c r="X492" s="471" t="e">
        <f t="shared" si="598"/>
        <v>#REF!</v>
      </c>
      <c r="Y492" s="471" t="e">
        <f t="shared" si="576"/>
        <v>#REF!</v>
      </c>
      <c r="Z492" s="471"/>
      <c r="AA492" s="471"/>
    </row>
    <row r="493" spans="1:40" s="470" customFormat="1" ht="15.75" customHeight="1" x14ac:dyDescent="0.15">
      <c r="A493" s="457"/>
      <c r="B493" s="453"/>
      <c r="C493" s="209"/>
      <c r="D493" s="95"/>
      <c r="E493" s="141"/>
      <c r="F493" s="94"/>
      <c r="G493" s="556"/>
      <c r="H493" s="463" t="str">
        <f t="shared" si="573"/>
        <v/>
      </c>
      <c r="I493" s="451"/>
      <c r="J493" s="506"/>
      <c r="K493" s="507"/>
      <c r="L493" s="506"/>
      <c r="M493" s="507"/>
      <c r="N493" s="507"/>
      <c r="O493" s="507"/>
      <c r="P493" s="508"/>
      <c r="Q493" s="512"/>
      <c r="R493" s="513"/>
      <c r="S493" s="131"/>
      <c r="T493" s="470" t="str">
        <f t="shared" si="574"/>
        <v/>
      </c>
      <c r="V493" s="549"/>
      <c r="W493" s="615">
        <f t="shared" ref="W493:X493" si="599">W492</f>
        <v>19</v>
      </c>
      <c r="X493" s="471" t="e">
        <f t="shared" si="599"/>
        <v>#REF!</v>
      </c>
      <c r="Y493" s="471" t="e">
        <f t="shared" si="576"/>
        <v>#REF!</v>
      </c>
      <c r="Z493" s="471"/>
      <c r="AA493" s="471"/>
    </row>
    <row r="494" spans="1:40" s="470" customFormat="1" ht="15.75" customHeight="1" x14ac:dyDescent="0.15">
      <c r="B494" s="453"/>
      <c r="C494" s="209" t="s">
        <v>1016</v>
      </c>
      <c r="D494" s="95"/>
      <c r="E494" s="141"/>
      <c r="F494" s="94"/>
      <c r="G494" s="556"/>
      <c r="H494" s="463" t="str">
        <f t="shared" si="573"/>
        <v>※ 건축표준품셈 : 7-2-5 앵커볼트 설치</v>
      </c>
      <c r="I494" s="451"/>
      <c r="J494" s="506"/>
      <c r="K494" s="507"/>
      <c r="L494" s="506"/>
      <c r="M494" s="507"/>
      <c r="N494" s="507"/>
      <c r="O494" s="507"/>
      <c r="P494" s="508"/>
      <c r="Q494" s="512"/>
      <c r="R494" s="513"/>
      <c r="S494" s="131"/>
      <c r="T494" s="470" t="str">
        <f t="shared" si="574"/>
        <v/>
      </c>
      <c r="U494" s="457"/>
      <c r="V494" s="551"/>
      <c r="W494" s="471">
        <f t="shared" ref="W494:X494" si="600">W493</f>
        <v>19</v>
      </c>
      <c r="X494" s="471" t="e">
        <f t="shared" si="600"/>
        <v>#REF!</v>
      </c>
      <c r="Y494" s="471" t="e">
        <f t="shared" si="576"/>
        <v>#REF!</v>
      </c>
      <c r="Z494" s="471"/>
      <c r="AA494" s="471"/>
      <c r="AB494" s="457"/>
      <c r="AC494" s="457"/>
      <c r="AD494" s="457"/>
      <c r="AE494" s="457"/>
      <c r="AF494" s="457"/>
      <c r="AG494" s="457"/>
      <c r="AH494" s="457"/>
      <c r="AI494" s="457"/>
      <c r="AJ494" s="457"/>
      <c r="AK494" s="457"/>
      <c r="AL494" s="457"/>
      <c r="AM494" s="457"/>
      <c r="AN494" s="457"/>
    </row>
    <row r="495" spans="1:40" s="457" customFormat="1" ht="15.75" customHeight="1" x14ac:dyDescent="0.15">
      <c r="A495" s="470"/>
      <c r="B495" s="514"/>
      <c r="C495" s="515"/>
      <c r="D495" s="516"/>
      <c r="E495" s="517"/>
      <c r="F495" s="518"/>
      <c r="G495" s="557"/>
      <c r="H495" s="463" t="str">
        <f t="shared" si="573"/>
        <v/>
      </c>
      <c r="I495" s="520"/>
      <c r="J495" s="521"/>
      <c r="K495" s="522"/>
      <c r="L495" s="521"/>
      <c r="M495" s="522"/>
      <c r="N495" s="521"/>
      <c r="O495" s="522"/>
      <c r="P495" s="523"/>
      <c r="Q495" s="512"/>
      <c r="R495" s="513"/>
      <c r="S495" s="524"/>
      <c r="T495" s="470" t="str">
        <f t="shared" si="574"/>
        <v/>
      </c>
      <c r="U495" s="470"/>
      <c r="V495" s="470"/>
      <c r="W495" s="471">
        <f t="shared" ref="W495:X495" si="601">W494</f>
        <v>19</v>
      </c>
      <c r="X495" s="471" t="e">
        <f t="shared" si="601"/>
        <v>#REF!</v>
      </c>
      <c r="Y495" s="471" t="e">
        <f t="shared" si="576"/>
        <v>#REF!</v>
      </c>
      <c r="Z495" s="471"/>
      <c r="AA495" s="471"/>
      <c r="AB495" s="470"/>
      <c r="AC495" s="470"/>
      <c r="AD495" s="470"/>
      <c r="AE495" s="470"/>
      <c r="AF495" s="470"/>
      <c r="AG495" s="470"/>
      <c r="AH495" s="470"/>
      <c r="AI495" s="470"/>
      <c r="AJ495" s="470"/>
      <c r="AK495" s="470"/>
      <c r="AL495" s="470"/>
      <c r="AM495" s="470"/>
      <c r="AN495" s="470"/>
    </row>
    <row r="496" spans="1:40" s="470" customFormat="1" ht="15.75" customHeight="1" x14ac:dyDescent="0.15">
      <c r="A496" s="457"/>
      <c r="B496" s="457"/>
      <c r="C496" s="458"/>
      <c r="D496" s="459"/>
      <c r="E496" s="460"/>
      <c r="F496" s="461"/>
      <c r="G496" s="553"/>
      <c r="H496" s="463" t="str">
        <f t="shared" ref="H496:H521" si="602">CONCATENATE(C496,E496,F496)</f>
        <v/>
      </c>
      <c r="I496" s="464"/>
      <c r="J496" s="465"/>
      <c r="K496" s="465"/>
      <c r="L496" s="465"/>
      <c r="M496" s="465"/>
      <c r="N496" s="465"/>
      <c r="O496" s="466"/>
      <c r="P496" s="467"/>
      <c r="Q496" s="468"/>
      <c r="R496" s="469"/>
      <c r="S496" s="467"/>
      <c r="T496" s="470" t="str">
        <f t="shared" ref="T496:T521" si="603">CONCATENATE(Q496,R496)</f>
        <v/>
      </c>
      <c r="W496" s="533">
        <f t="shared" ref="W496" si="604">I518</f>
        <v>20</v>
      </c>
      <c r="X496" s="533" t="e">
        <f>#REF!+1</f>
        <v>#REF!</v>
      </c>
      <c r="Y496" s="533" t="e">
        <f t="shared" ref="Y496:Y521" si="605">X496-W496</f>
        <v>#REF!</v>
      </c>
      <c r="Z496" s="533"/>
      <c r="AA496" s="533"/>
    </row>
    <row r="497" spans="1:40" s="470" customFormat="1" ht="15.75" customHeight="1" x14ac:dyDescent="0.15">
      <c r="A497" s="457"/>
      <c r="B497" s="473"/>
      <c r="C497" s="474" t="str">
        <f>"   항목번호 : "&amp;목록!L$26</f>
        <v xml:space="preserve">   항목번호 : 제20호표</v>
      </c>
      <c r="D497" s="475">
        <f>목록!B$26</f>
        <v>20</v>
      </c>
      <c r="E497" s="476"/>
      <c r="F497" s="477"/>
      <c r="G497" s="554"/>
      <c r="H497" s="463" t="str">
        <f t="shared" si="602"/>
        <v xml:space="preserve">   항목번호 : 제20호표</v>
      </c>
      <c r="I497" s="479"/>
      <c r="J497" s="480"/>
      <c r="K497" s="481"/>
      <c r="L497" s="482"/>
      <c r="M497" s="482"/>
      <c r="N497" s="482"/>
      <c r="O497" s="466"/>
      <c r="P497" s="483"/>
      <c r="Q497" s="484"/>
      <c r="R497" s="485"/>
      <c r="S497" s="483"/>
      <c r="T497" s="470" t="str">
        <f t="shared" si="603"/>
        <v/>
      </c>
      <c r="U497" s="457"/>
      <c r="V497" s="551"/>
      <c r="W497" s="471">
        <f t="shared" ref="W497:X497" si="606">W496</f>
        <v>20</v>
      </c>
      <c r="X497" s="471" t="e">
        <f t="shared" si="606"/>
        <v>#REF!</v>
      </c>
      <c r="Y497" s="471" t="e">
        <f t="shared" si="605"/>
        <v>#REF!</v>
      </c>
      <c r="Z497" s="471"/>
      <c r="AA497" s="471"/>
      <c r="AB497" s="457"/>
      <c r="AC497" s="457"/>
      <c r="AD497" s="457"/>
      <c r="AE497" s="457"/>
      <c r="AF497" s="457"/>
      <c r="AG497" s="457"/>
      <c r="AH497" s="457"/>
      <c r="AI497" s="457"/>
      <c r="AJ497" s="457"/>
      <c r="AK497" s="457"/>
      <c r="AL497" s="457"/>
      <c r="AM497" s="457"/>
      <c r="AN497" s="457"/>
    </row>
    <row r="498" spans="1:40" s="457" customFormat="1" ht="15.75" customHeight="1" x14ac:dyDescent="0.15">
      <c r="B498" s="473"/>
      <c r="C498" s="474" t="str">
        <f>"   공      종 : "&amp;목록!D$26</f>
        <v xml:space="preserve">   공      종 : 각파이프</v>
      </c>
      <c r="D498" s="484"/>
      <c r="E498" s="476"/>
      <c r="F498" s="473"/>
      <c r="G498" s="554"/>
      <c r="H498" s="463" t="str">
        <f t="shared" si="602"/>
        <v xml:space="preserve">   공      종 : 각파이프</v>
      </c>
      <c r="I498" s="479"/>
      <c r="J498" s="480"/>
      <c r="K498" s="481"/>
      <c r="L498" s="482"/>
      <c r="M498" s="482"/>
      <c r="N498" s="482"/>
      <c r="O498" s="466"/>
      <c r="P498" s="483"/>
      <c r="Q498" s="484"/>
      <c r="R498" s="485"/>
      <c r="S498" s="483"/>
      <c r="T498" s="470" t="str">
        <f t="shared" si="603"/>
        <v/>
      </c>
      <c r="V498" s="470"/>
      <c r="W498" s="471">
        <f t="shared" ref="W498:X498" si="607">W497</f>
        <v>20</v>
      </c>
      <c r="X498" s="471" t="e">
        <f t="shared" si="607"/>
        <v>#REF!</v>
      </c>
      <c r="Y498" s="471" t="e">
        <f t="shared" si="605"/>
        <v>#REF!</v>
      </c>
      <c r="Z498" s="471"/>
      <c r="AA498" s="471"/>
    </row>
    <row r="499" spans="1:40" s="457" customFormat="1" ht="15.75" customHeight="1" x14ac:dyDescent="0.15">
      <c r="B499" s="473"/>
      <c r="C499" s="474" t="str">
        <f xml:space="preserve"> "   규      격 : "&amp;목록!F$26</f>
        <v xml:space="preserve">   규      격 : 30*30*1.4T(S)</v>
      </c>
      <c r="D499" s="484"/>
      <c r="E499" s="476"/>
      <c r="F499" s="473"/>
      <c r="G499" s="554"/>
      <c r="H499" s="463" t="str">
        <f t="shared" si="602"/>
        <v xml:space="preserve">   규      격 : 30*30*1.4T(S)</v>
      </c>
      <c r="I499" s="479"/>
      <c r="J499" s="480" t="s">
        <v>348</v>
      </c>
      <c r="K499" s="481"/>
      <c r="L499" s="482" t="s">
        <v>349</v>
      </c>
      <c r="M499" s="482"/>
      <c r="N499" s="482" t="s">
        <v>240</v>
      </c>
      <c r="O499" s="466"/>
      <c r="P499" s="483"/>
      <c r="Q499" s="484" t="s">
        <v>798</v>
      </c>
      <c r="R499" s="484"/>
      <c r="S499" s="483"/>
      <c r="T499" s="470" t="str">
        <f t="shared" si="603"/>
        <v>합계</v>
      </c>
      <c r="V499" s="547"/>
      <c r="W499" s="471">
        <f t="shared" ref="W499:X499" si="608">W498</f>
        <v>20</v>
      </c>
      <c r="X499" s="471" t="e">
        <f t="shared" si="608"/>
        <v>#REF!</v>
      </c>
      <c r="Y499" s="471" t="e">
        <f t="shared" si="605"/>
        <v>#REF!</v>
      </c>
      <c r="Z499" s="471"/>
      <c r="AA499" s="471"/>
    </row>
    <row r="500" spans="1:40" s="457" customFormat="1" ht="15.75" customHeight="1" x14ac:dyDescent="0.15">
      <c r="B500" s="473"/>
      <c r="C500" s="474" t="str">
        <f>"   단      위 : "&amp;목록!G$26</f>
        <v xml:space="preserve">   단      위 : m</v>
      </c>
      <c r="D500" s="484"/>
      <c r="E500" s="476"/>
      <c r="F500" s="473"/>
      <c r="G500" s="554"/>
      <c r="H500" s="463" t="str">
        <f t="shared" si="602"/>
        <v xml:space="preserve">   단      위 : m</v>
      </c>
      <c r="I500" s="479"/>
      <c r="J500" s="486">
        <f>K518</f>
        <v>1821</v>
      </c>
      <c r="K500" s="481"/>
      <c r="L500" s="487">
        <f>M518</f>
        <v>6798</v>
      </c>
      <c r="M500" s="482"/>
      <c r="N500" s="482">
        <f>O518</f>
        <v>15</v>
      </c>
      <c r="O500" s="466"/>
      <c r="P500" s="483"/>
      <c r="Q500" s="488">
        <f>J500+L500+N500</f>
        <v>8634</v>
      </c>
      <c r="R500" s="489"/>
      <c r="S500" s="483"/>
      <c r="T500" s="470" t="str">
        <f t="shared" si="603"/>
        <v>8634</v>
      </c>
      <c r="V500" s="547"/>
      <c r="W500" s="471">
        <f t="shared" ref="W500:X500" si="609">W499</f>
        <v>20</v>
      </c>
      <c r="X500" s="471" t="e">
        <f t="shared" si="609"/>
        <v>#REF!</v>
      </c>
      <c r="Y500" s="471" t="e">
        <f t="shared" si="605"/>
        <v>#REF!</v>
      </c>
      <c r="Z500" s="471"/>
      <c r="AA500" s="471"/>
    </row>
    <row r="501" spans="1:40" s="457" customFormat="1" ht="15.75" customHeight="1" x14ac:dyDescent="0.15">
      <c r="B501" s="473"/>
      <c r="C501" s="474"/>
      <c r="D501" s="484"/>
      <c r="E501" s="476"/>
      <c r="F501" s="473"/>
      <c r="G501" s="555"/>
      <c r="H501" s="463" t="str">
        <f t="shared" si="602"/>
        <v/>
      </c>
      <c r="I501" s="491"/>
      <c r="J501" s="482"/>
      <c r="K501" s="465"/>
      <c r="L501" s="482"/>
      <c r="M501" s="482"/>
      <c r="N501" s="482"/>
      <c r="O501" s="466"/>
      <c r="P501" s="492"/>
      <c r="Q501" s="493"/>
      <c r="R501" s="485"/>
      <c r="S501" s="492"/>
      <c r="T501" s="470" t="str">
        <f t="shared" si="603"/>
        <v/>
      </c>
      <c r="V501" s="547"/>
      <c r="W501" s="471">
        <f t="shared" ref="W501:X501" si="610">W500</f>
        <v>20</v>
      </c>
      <c r="X501" s="471" t="e">
        <f t="shared" si="610"/>
        <v>#REF!</v>
      </c>
      <c r="Y501" s="471" t="e">
        <f t="shared" si="605"/>
        <v>#REF!</v>
      </c>
      <c r="Z501" s="471"/>
      <c r="AA501" s="471"/>
    </row>
    <row r="502" spans="1:40" s="457" customFormat="1" ht="15.75" customHeight="1" x14ac:dyDescent="0.15">
      <c r="B502" s="899" t="s">
        <v>375</v>
      </c>
      <c r="C502" s="900"/>
      <c r="D502" s="915" t="s">
        <v>356</v>
      </c>
      <c r="E502" s="908"/>
      <c r="F502" s="903" t="s">
        <v>803</v>
      </c>
      <c r="G502" s="911" t="s">
        <v>804</v>
      </c>
      <c r="H502" s="463" t="str">
        <f t="shared" si="602"/>
        <v>단위</v>
      </c>
      <c r="I502" s="494"/>
      <c r="J502" s="495" t="s">
        <v>348</v>
      </c>
      <c r="K502" s="496"/>
      <c r="L502" s="495" t="s">
        <v>349</v>
      </c>
      <c r="M502" s="496"/>
      <c r="N502" s="497" t="s">
        <v>240</v>
      </c>
      <c r="O502" s="497"/>
      <c r="P502" s="498"/>
      <c r="Q502" s="744" t="s">
        <v>355</v>
      </c>
      <c r="R502" s="744"/>
      <c r="S502" s="499"/>
      <c r="T502" s="470" t="str">
        <f t="shared" si="603"/>
        <v>비  고</v>
      </c>
      <c r="V502" s="547"/>
      <c r="W502" s="471">
        <f t="shared" ref="W502:X502" si="611">W501</f>
        <v>20</v>
      </c>
      <c r="X502" s="471" t="e">
        <f t="shared" si="611"/>
        <v>#REF!</v>
      </c>
      <c r="Y502" s="471" t="e">
        <f t="shared" si="605"/>
        <v>#REF!</v>
      </c>
      <c r="Z502" s="471"/>
      <c r="AA502" s="471"/>
    </row>
    <row r="503" spans="1:40" s="457" customFormat="1" ht="15.75" customHeight="1" x14ac:dyDescent="0.15">
      <c r="A503" s="547"/>
      <c r="B503" s="901"/>
      <c r="C503" s="902"/>
      <c r="D503" s="916"/>
      <c r="E503" s="910"/>
      <c r="F503" s="904"/>
      <c r="G503" s="912"/>
      <c r="H503" s="463" t="str">
        <f t="shared" si="602"/>
        <v/>
      </c>
      <c r="I503" s="500"/>
      <c r="J503" s="501" t="s">
        <v>353</v>
      </c>
      <c r="K503" s="501" t="s">
        <v>354</v>
      </c>
      <c r="L503" s="501" t="s">
        <v>353</v>
      </c>
      <c r="M503" s="502" t="s">
        <v>354</v>
      </c>
      <c r="N503" s="501" t="s">
        <v>353</v>
      </c>
      <c r="O503" s="501" t="s">
        <v>354</v>
      </c>
      <c r="P503" s="503"/>
      <c r="Q503" s="745"/>
      <c r="R503" s="745"/>
      <c r="S503" s="504"/>
      <c r="T503" s="470" t="str">
        <f t="shared" si="603"/>
        <v/>
      </c>
      <c r="V503" s="547"/>
      <c r="W503" s="471">
        <f t="shared" ref="W503:X503" si="612">W502</f>
        <v>20</v>
      </c>
      <c r="X503" s="471" t="e">
        <f t="shared" si="612"/>
        <v>#REF!</v>
      </c>
      <c r="Y503" s="471" t="e">
        <f t="shared" si="605"/>
        <v>#REF!</v>
      </c>
      <c r="Z503" s="471"/>
      <c r="AA503" s="471"/>
    </row>
    <row r="504" spans="1:40" s="457" customFormat="1" ht="15.75" customHeight="1" x14ac:dyDescent="0.15">
      <c r="A504" s="547"/>
      <c r="B504" s="95"/>
      <c r="C504" s="140" t="s">
        <v>857</v>
      </c>
      <c r="D504" s="95"/>
      <c r="E504" s="141" t="s">
        <v>858</v>
      </c>
      <c r="F504" s="94" t="s">
        <v>800</v>
      </c>
      <c r="G504" s="556">
        <f>TRUNC(G505*1.05,4)</f>
        <v>1.2788999999999999</v>
      </c>
      <c r="H504" s="463" t="str">
        <f t="shared" si="602"/>
        <v>각파이프30*30*1.4TKg</v>
      </c>
      <c r="I504" s="451" t="str">
        <f>CONCATENATE(C504,E504,F504)</f>
        <v>각파이프30*30*1.4TKg</v>
      </c>
      <c r="J504" s="506">
        <f>IF(OR($F504="인",$F504=""),"",VLOOKUP($H504,단가!$A:$S,19,FALSE))</f>
        <v>1110</v>
      </c>
      <c r="K504" s="507">
        <f>IF(J504="","",TRUNC($G504*J504,0))</f>
        <v>1419</v>
      </c>
      <c r="L504" s="506" t="str">
        <f>IF($F504="인",VLOOKUP($C:$C,노임!$C:$G,4,FALSE),"")</f>
        <v/>
      </c>
      <c r="M504" s="507" t="str">
        <f>IF(L504="","",TRUNC($G504*L504,0))</f>
        <v/>
      </c>
      <c r="N504" s="507"/>
      <c r="O504" s="507" t="str">
        <f>IF(N504="","",TRUNC($G504*N504,0))</f>
        <v/>
      </c>
      <c r="P504" s="508"/>
      <c r="Q504" s="509" t="str">
        <f>IF(F504="인","노임"&amp;VLOOKUP($C:$C,노임!C:G,5,FALSE)&amp;"번","단가"&amp;VLOOKUP($H:$H,단가!$A:$B,2,FALSE)&amp;"번")</f>
        <v>단가65번</v>
      </c>
      <c r="R504" s="510"/>
      <c r="S504" s="131"/>
      <c r="T504" s="470" t="str">
        <f t="shared" si="603"/>
        <v>단가65번</v>
      </c>
      <c r="V504" s="548"/>
      <c r="W504" s="471">
        <f t="shared" ref="W504:X504" si="613">W503</f>
        <v>20</v>
      </c>
      <c r="X504" s="471" t="e">
        <f t="shared" si="613"/>
        <v>#REF!</v>
      </c>
      <c r="Y504" s="471" t="e">
        <f t="shared" si="605"/>
        <v>#REF!</v>
      </c>
      <c r="Z504" s="471"/>
      <c r="AA504" s="471"/>
    </row>
    <row r="505" spans="1:40" s="457" customFormat="1" ht="15.75" customHeight="1" x14ac:dyDescent="0.15">
      <c r="A505" s="470"/>
      <c r="B505" s="95"/>
      <c r="C505" s="140" t="s">
        <v>859</v>
      </c>
      <c r="D505" s="95"/>
      <c r="E505" s="643" t="s">
        <v>1201</v>
      </c>
      <c r="F505" s="94" t="s">
        <v>861</v>
      </c>
      <c r="G505" s="556">
        <v>1.218</v>
      </c>
      <c r="H505" s="463" t="str">
        <f t="shared" si="602"/>
        <v>잡철물제작설치간단기준Kg</v>
      </c>
      <c r="I505" s="451" t="str">
        <f>CONCATENATE(C505,E505,F505)</f>
        <v>잡철물제작설치간단기준Kg</v>
      </c>
      <c r="J505" s="506">
        <f>VLOOKUP($H505,목록!$A:$K,8,FALSE)</f>
        <v>239</v>
      </c>
      <c r="K505" s="507">
        <f>IF(J505="","",TRUNC($G505*J505,0))</f>
        <v>291</v>
      </c>
      <c r="L505" s="506">
        <f>VLOOKUP($H505,목록!$A:$K,9,FALSE)</f>
        <v>5079</v>
      </c>
      <c r="M505" s="507">
        <f>IF(L505="","",TRUNC($G505*L505,0))</f>
        <v>6186</v>
      </c>
      <c r="N505" s="506">
        <f>VLOOKUP($H505,목록!$A:$K,10,FALSE)</f>
        <v>13</v>
      </c>
      <c r="O505" s="507">
        <f>IF(N505="","",TRUNC($G505*N505,0))</f>
        <v>15</v>
      </c>
      <c r="P505" s="508"/>
      <c r="Q505" s="509" t="str">
        <f>"제"&amp;VLOOKUP($H:$H,목록!$A:$B,2,FALSE)&amp;"호표"</f>
        <v>제16호표</v>
      </c>
      <c r="R505" s="550"/>
      <c r="S505" s="131"/>
      <c r="T505" s="470" t="str">
        <f t="shared" si="603"/>
        <v>제16호표</v>
      </c>
      <c r="V505" s="548"/>
      <c r="W505" s="471">
        <f t="shared" ref="W505:X505" si="614">W504</f>
        <v>20</v>
      </c>
      <c r="X505" s="471" t="e">
        <f t="shared" si="614"/>
        <v>#REF!</v>
      </c>
      <c r="Y505" s="471" t="e">
        <f t="shared" si="605"/>
        <v>#REF!</v>
      </c>
      <c r="Z505" s="471"/>
      <c r="AA505" s="471"/>
    </row>
    <row r="506" spans="1:40" s="457" customFormat="1" ht="15.75" customHeight="1" x14ac:dyDescent="0.15">
      <c r="A506" s="470"/>
      <c r="B506" s="95"/>
      <c r="C506" s="140" t="s">
        <v>862</v>
      </c>
      <c r="D506" s="95"/>
      <c r="E506" s="141" t="s">
        <v>863</v>
      </c>
      <c r="F506" s="94" t="s">
        <v>768</v>
      </c>
      <c r="G506" s="556">
        <f>TRUNC((0.03+0.03)*2,4)</f>
        <v>0.12</v>
      </c>
      <c r="H506" s="463" t="str">
        <f t="shared" si="602"/>
        <v>녹막이페인트벽체2회㎡</v>
      </c>
      <c r="I506" s="451" t="str">
        <f>CONCATENATE(C506,E506,F506)</f>
        <v>녹막이페인트벽체2회㎡</v>
      </c>
      <c r="J506" s="506">
        <f>VLOOKUP($H506,목록!$A:$K,8,FALSE)</f>
        <v>1010</v>
      </c>
      <c r="K506" s="507">
        <f>IF(J506="","",TRUNC($G506*J506,0))</f>
        <v>121</v>
      </c>
      <c r="L506" s="506">
        <f>VLOOKUP($H506,목록!$A:$K,9,FALSE)</f>
        <v>5100</v>
      </c>
      <c r="M506" s="507">
        <f>IF(L506="","",TRUNC($G506*L506,0))</f>
        <v>612</v>
      </c>
      <c r="N506" s="506" t="str">
        <f>VLOOKUP($H506,목록!$A:$K,10,FALSE)</f>
        <v/>
      </c>
      <c r="O506" s="507" t="str">
        <f>IF(N506="","",TRUNC($G506*N506,0))</f>
        <v/>
      </c>
      <c r="P506" s="508"/>
      <c r="Q506" s="509" t="str">
        <f>"제"&amp;VLOOKUP($H:$H,목록!$A:$B,2,FALSE)&amp;"호표"</f>
        <v>제41호표</v>
      </c>
      <c r="R506" s="550"/>
      <c r="S506" s="131"/>
      <c r="T506" s="470" t="str">
        <f t="shared" si="603"/>
        <v>제41호표</v>
      </c>
      <c r="U506" s="470"/>
      <c r="V506" s="549"/>
      <c r="W506" s="471">
        <f t="shared" ref="W506:X506" si="615">W505</f>
        <v>20</v>
      </c>
      <c r="X506" s="471" t="e">
        <f t="shared" si="615"/>
        <v>#REF!</v>
      </c>
      <c r="Y506" s="471" t="e">
        <f t="shared" si="605"/>
        <v>#REF!</v>
      </c>
      <c r="Z506" s="471"/>
      <c r="AA506" s="471"/>
      <c r="AB506" s="470"/>
      <c r="AC506" s="470"/>
      <c r="AD506" s="470"/>
      <c r="AE506" s="470"/>
      <c r="AF506" s="470"/>
      <c r="AG506" s="470"/>
      <c r="AH506" s="470"/>
      <c r="AI506" s="470"/>
      <c r="AJ506" s="470"/>
      <c r="AK506" s="470"/>
      <c r="AL506" s="470"/>
      <c r="AM506" s="470"/>
      <c r="AN506" s="470"/>
    </row>
    <row r="507" spans="1:40" s="470" customFormat="1" ht="15.75" customHeight="1" x14ac:dyDescent="0.15">
      <c r="B507" s="95"/>
      <c r="C507" s="140" t="s">
        <v>526</v>
      </c>
      <c r="D507" s="95"/>
      <c r="E507" s="141" t="s">
        <v>527</v>
      </c>
      <c r="F507" s="94" t="s">
        <v>357</v>
      </c>
      <c r="G507" s="556">
        <f>TRUNC((G504-G505)*70%,4)</f>
        <v>4.2599999999999999E-2</v>
      </c>
      <c r="H507" s="463" t="str">
        <f t="shared" si="602"/>
        <v>철강설철강설, 고철, 작업설부산물Kg</v>
      </c>
      <c r="I507" s="451" t="str">
        <f>CONCATENATE(C507,E507,F507)</f>
        <v>철강설철강설, 고철, 작업설부산물Kg</v>
      </c>
      <c r="J507" s="506">
        <f>IF(OR($F507="인",$F507=""),"",VLOOKUP($H507,단가!$A:$S,19,FALSE))</f>
        <v>-240</v>
      </c>
      <c r="K507" s="507">
        <f>IF(J507="","",TRUNC($G507*J507,0))</f>
        <v>-10</v>
      </c>
      <c r="L507" s="506" t="str">
        <f>IF($F507="인",VLOOKUP($C:$C,노임!$C:$G,4,FALSE),"")</f>
        <v/>
      </c>
      <c r="M507" s="507" t="str">
        <f>IF(L507="","",TRUNC($G507*L507,0))</f>
        <v/>
      </c>
      <c r="N507" s="507"/>
      <c r="O507" s="507" t="str">
        <f>IF(N507="","",TRUNC($G507*N507,0))</f>
        <v/>
      </c>
      <c r="P507" s="508"/>
      <c r="Q507" s="509" t="str">
        <f>IF(F507="인","노임"&amp;VLOOKUP($C:$C,노임!C:G,5,FALSE)&amp;"번","단가"&amp;VLOOKUP($H:$H,단가!$A:$B,2,FALSE)&amp;"번")</f>
        <v>단가62번</v>
      </c>
      <c r="R507" s="510"/>
      <c r="S507" s="131"/>
      <c r="T507" s="470" t="str">
        <f t="shared" si="603"/>
        <v>단가62번</v>
      </c>
      <c r="V507" s="549"/>
      <c r="W507" s="471">
        <f t="shared" ref="W507:X507" si="616">W506</f>
        <v>20</v>
      </c>
      <c r="X507" s="471" t="e">
        <f t="shared" si="616"/>
        <v>#REF!</v>
      </c>
      <c r="Y507" s="471" t="e">
        <f t="shared" si="605"/>
        <v>#REF!</v>
      </c>
      <c r="Z507" s="471"/>
      <c r="AA507" s="471"/>
    </row>
    <row r="508" spans="1:40" s="470" customFormat="1" ht="15.75" customHeight="1" x14ac:dyDescent="0.15">
      <c r="B508" s="95"/>
      <c r="C508" s="140"/>
      <c r="D508" s="95"/>
      <c r="E508" s="141"/>
      <c r="F508" s="94"/>
      <c r="G508" s="556"/>
      <c r="H508" s="463" t="str">
        <f t="shared" si="602"/>
        <v/>
      </c>
      <c r="I508" s="451"/>
      <c r="J508" s="506"/>
      <c r="K508" s="507"/>
      <c r="L508" s="506"/>
      <c r="M508" s="507"/>
      <c r="N508" s="507"/>
      <c r="O508" s="507"/>
      <c r="P508" s="508"/>
      <c r="Q508" s="512"/>
      <c r="R508" s="534"/>
      <c r="S508" s="131"/>
      <c r="T508" s="470" t="str">
        <f t="shared" si="603"/>
        <v/>
      </c>
      <c r="V508" s="549"/>
      <c r="W508" s="471">
        <f t="shared" ref="W508:X508" si="617">W507</f>
        <v>20</v>
      </c>
      <c r="X508" s="471" t="e">
        <f t="shared" si="617"/>
        <v>#REF!</v>
      </c>
      <c r="Y508" s="471" t="e">
        <f t="shared" si="605"/>
        <v>#REF!</v>
      </c>
      <c r="Z508" s="471"/>
      <c r="AA508" s="471"/>
    </row>
    <row r="509" spans="1:40" s="470" customFormat="1" ht="15.75" customHeight="1" x14ac:dyDescent="0.15">
      <c r="B509" s="95"/>
      <c r="C509" s="140"/>
      <c r="D509" s="95"/>
      <c r="E509" s="141"/>
      <c r="F509" s="94"/>
      <c r="G509" s="556"/>
      <c r="H509" s="463" t="str">
        <f t="shared" si="602"/>
        <v/>
      </c>
      <c r="I509" s="451"/>
      <c r="J509" s="506"/>
      <c r="K509" s="507"/>
      <c r="L509" s="506"/>
      <c r="M509" s="507"/>
      <c r="N509" s="507"/>
      <c r="O509" s="507"/>
      <c r="P509" s="508"/>
      <c r="Q509" s="512"/>
      <c r="R509" s="534"/>
      <c r="S509" s="131"/>
      <c r="T509" s="470" t="str">
        <f t="shared" si="603"/>
        <v/>
      </c>
      <c r="V509" s="549"/>
      <c r="W509" s="471">
        <f t="shared" ref="W509:X509" si="618">W508</f>
        <v>20</v>
      </c>
      <c r="X509" s="471" t="e">
        <f t="shared" si="618"/>
        <v>#REF!</v>
      </c>
      <c r="Y509" s="471" t="e">
        <f t="shared" si="605"/>
        <v>#REF!</v>
      </c>
      <c r="Z509" s="471"/>
      <c r="AA509" s="471"/>
    </row>
    <row r="510" spans="1:40" s="470" customFormat="1" ht="15.75" customHeight="1" x14ac:dyDescent="0.15">
      <c r="B510" s="95"/>
      <c r="C510" s="140"/>
      <c r="D510" s="95"/>
      <c r="E510" s="141"/>
      <c r="F510" s="94"/>
      <c r="G510" s="556"/>
      <c r="H510" s="463" t="str">
        <f t="shared" si="602"/>
        <v/>
      </c>
      <c r="I510" s="451"/>
      <c r="J510" s="506"/>
      <c r="K510" s="507"/>
      <c r="L510" s="506"/>
      <c r="M510" s="507"/>
      <c r="N510" s="507"/>
      <c r="O510" s="507"/>
      <c r="P510" s="508"/>
      <c r="Q510" s="512"/>
      <c r="R510" s="513"/>
      <c r="S510" s="131"/>
      <c r="T510" s="470" t="str">
        <f t="shared" si="603"/>
        <v/>
      </c>
      <c r="V510" s="549"/>
      <c r="W510" s="471">
        <f t="shared" ref="W510:X510" si="619">W509</f>
        <v>20</v>
      </c>
      <c r="X510" s="471" t="e">
        <f t="shared" si="619"/>
        <v>#REF!</v>
      </c>
      <c r="Y510" s="471" t="e">
        <f t="shared" si="605"/>
        <v>#REF!</v>
      </c>
      <c r="Z510" s="471"/>
      <c r="AA510" s="471"/>
    </row>
    <row r="511" spans="1:40" s="470" customFormat="1" ht="15.75" customHeight="1" x14ac:dyDescent="0.15">
      <c r="B511" s="95"/>
      <c r="C511" s="140"/>
      <c r="D511" s="95"/>
      <c r="E511" s="141"/>
      <c r="F511" s="94"/>
      <c r="G511" s="556"/>
      <c r="H511" s="463" t="str">
        <f t="shared" si="602"/>
        <v/>
      </c>
      <c r="I511" s="451"/>
      <c r="J511" s="506"/>
      <c r="K511" s="507"/>
      <c r="L511" s="506"/>
      <c r="M511" s="507"/>
      <c r="N511" s="507"/>
      <c r="O511" s="507"/>
      <c r="P511" s="508"/>
      <c r="Q511" s="512"/>
      <c r="R511" s="534"/>
      <c r="S511" s="131"/>
      <c r="T511" s="470" t="str">
        <f t="shared" si="603"/>
        <v/>
      </c>
      <c r="V511" s="549"/>
      <c r="W511" s="471">
        <f t="shared" ref="W511:X511" si="620">W510</f>
        <v>20</v>
      </c>
      <c r="X511" s="471" t="e">
        <f t="shared" si="620"/>
        <v>#REF!</v>
      </c>
      <c r="Y511" s="471" t="e">
        <f t="shared" si="605"/>
        <v>#REF!</v>
      </c>
      <c r="Z511" s="471"/>
      <c r="AA511" s="471"/>
    </row>
    <row r="512" spans="1:40" s="470" customFormat="1" ht="15.75" customHeight="1" x14ac:dyDescent="0.15">
      <c r="B512" s="95"/>
      <c r="C512" s="140"/>
      <c r="D512" s="95"/>
      <c r="E512" s="141"/>
      <c r="F512" s="94"/>
      <c r="G512" s="556"/>
      <c r="H512" s="463" t="str">
        <f t="shared" si="602"/>
        <v/>
      </c>
      <c r="I512" s="451"/>
      <c r="J512" s="506"/>
      <c r="K512" s="507"/>
      <c r="L512" s="506"/>
      <c r="M512" s="507"/>
      <c r="N512" s="507"/>
      <c r="O512" s="507"/>
      <c r="P512" s="508"/>
      <c r="Q512" s="512"/>
      <c r="R512" s="513"/>
      <c r="S512" s="131"/>
      <c r="T512" s="470" t="str">
        <f t="shared" si="603"/>
        <v/>
      </c>
      <c r="V512" s="549"/>
      <c r="W512" s="471">
        <f t="shared" ref="W512:X512" si="621">W511</f>
        <v>20</v>
      </c>
      <c r="X512" s="471" t="e">
        <f t="shared" si="621"/>
        <v>#REF!</v>
      </c>
      <c r="Y512" s="471" t="e">
        <f t="shared" si="605"/>
        <v>#REF!</v>
      </c>
      <c r="Z512" s="471"/>
      <c r="AA512" s="471"/>
    </row>
    <row r="513" spans="1:40" s="470" customFormat="1" ht="15.75" customHeight="1" x14ac:dyDescent="0.15">
      <c r="B513" s="95"/>
      <c r="C513" s="140"/>
      <c r="D513" s="95"/>
      <c r="E513" s="141"/>
      <c r="F513" s="94"/>
      <c r="G513" s="556"/>
      <c r="H513" s="463" t="str">
        <f t="shared" si="602"/>
        <v/>
      </c>
      <c r="I513" s="451"/>
      <c r="J513" s="506"/>
      <c r="K513" s="507"/>
      <c r="L513" s="506"/>
      <c r="M513" s="507"/>
      <c r="N513" s="507"/>
      <c r="O513" s="507"/>
      <c r="P513" s="508"/>
      <c r="Q513" s="512"/>
      <c r="R513" s="513"/>
      <c r="S513" s="131"/>
      <c r="T513" s="470" t="str">
        <f t="shared" si="603"/>
        <v/>
      </c>
      <c r="V513" s="549"/>
      <c r="W513" s="471">
        <f t="shared" ref="W513:X513" si="622">W512</f>
        <v>20</v>
      </c>
      <c r="X513" s="471" t="e">
        <f t="shared" si="622"/>
        <v>#REF!</v>
      </c>
      <c r="Y513" s="471" t="e">
        <f t="shared" si="605"/>
        <v>#REF!</v>
      </c>
      <c r="Z513" s="471"/>
      <c r="AA513" s="471"/>
    </row>
    <row r="514" spans="1:40" s="470" customFormat="1" ht="15.75" customHeight="1" x14ac:dyDescent="0.15">
      <c r="B514" s="95"/>
      <c r="C514" s="140"/>
      <c r="D514" s="95"/>
      <c r="E514" s="141"/>
      <c r="F514" s="94"/>
      <c r="G514" s="556"/>
      <c r="H514" s="463" t="str">
        <f t="shared" si="602"/>
        <v/>
      </c>
      <c r="I514" s="451"/>
      <c r="J514" s="506"/>
      <c r="K514" s="507"/>
      <c r="L514" s="506"/>
      <c r="M514" s="507"/>
      <c r="N514" s="507"/>
      <c r="O514" s="507"/>
      <c r="P514" s="508"/>
      <c r="Q514" s="512"/>
      <c r="R514" s="513"/>
      <c r="S514" s="131"/>
      <c r="T514" s="470" t="str">
        <f t="shared" si="603"/>
        <v/>
      </c>
      <c r="V514" s="549"/>
      <c r="W514" s="471">
        <f t="shared" ref="W514:X514" si="623">W513</f>
        <v>20</v>
      </c>
      <c r="X514" s="471" t="e">
        <f t="shared" si="623"/>
        <v>#REF!</v>
      </c>
      <c r="Y514" s="471" t="e">
        <f t="shared" si="605"/>
        <v>#REF!</v>
      </c>
      <c r="Z514" s="471"/>
      <c r="AA514" s="471"/>
    </row>
    <row r="515" spans="1:40" s="470" customFormat="1" ht="15.75" customHeight="1" x14ac:dyDescent="0.15">
      <c r="B515" s="95"/>
      <c r="C515" s="140"/>
      <c r="D515" s="95"/>
      <c r="E515" s="141"/>
      <c r="F515" s="94"/>
      <c r="G515" s="556"/>
      <c r="H515" s="463" t="str">
        <f t="shared" si="602"/>
        <v/>
      </c>
      <c r="I515" s="451"/>
      <c r="J515" s="506"/>
      <c r="K515" s="507"/>
      <c r="L515" s="506"/>
      <c r="M515" s="507"/>
      <c r="N515" s="507"/>
      <c r="O515" s="507"/>
      <c r="P515" s="508"/>
      <c r="Q515" s="512"/>
      <c r="R515" s="513"/>
      <c r="S515" s="131"/>
      <c r="T515" s="470" t="str">
        <f t="shared" si="603"/>
        <v/>
      </c>
      <c r="V515" s="549"/>
      <c r="W515" s="471">
        <f t="shared" ref="W515:X515" si="624">W514</f>
        <v>20</v>
      </c>
      <c r="X515" s="471" t="e">
        <f t="shared" si="624"/>
        <v>#REF!</v>
      </c>
      <c r="Y515" s="471" t="e">
        <f t="shared" si="605"/>
        <v>#REF!</v>
      </c>
      <c r="Z515" s="471"/>
      <c r="AA515" s="471"/>
    </row>
    <row r="516" spans="1:40" s="470" customFormat="1" ht="15.75" customHeight="1" x14ac:dyDescent="0.15">
      <c r="B516" s="95"/>
      <c r="C516" s="140"/>
      <c r="D516" s="95"/>
      <c r="E516" s="141"/>
      <c r="F516" s="94"/>
      <c r="G516" s="556"/>
      <c r="H516" s="463" t="str">
        <f t="shared" si="602"/>
        <v/>
      </c>
      <c r="I516" s="451"/>
      <c r="J516" s="506"/>
      <c r="K516" s="507"/>
      <c r="L516" s="506"/>
      <c r="M516" s="507"/>
      <c r="N516" s="507"/>
      <c r="O516" s="507"/>
      <c r="P516" s="508"/>
      <c r="Q516" s="512"/>
      <c r="R516" s="513"/>
      <c r="S516" s="131"/>
      <c r="T516" s="470" t="str">
        <f t="shared" si="603"/>
        <v/>
      </c>
      <c r="V516" s="549"/>
      <c r="W516" s="471">
        <f t="shared" ref="W516:X516" si="625">W515</f>
        <v>20</v>
      </c>
      <c r="X516" s="471" t="e">
        <f t="shared" si="625"/>
        <v>#REF!</v>
      </c>
      <c r="Y516" s="471" t="e">
        <f t="shared" si="605"/>
        <v>#REF!</v>
      </c>
      <c r="Z516" s="471"/>
      <c r="AA516" s="471"/>
    </row>
    <row r="517" spans="1:40" s="470" customFormat="1" ht="15.75" customHeight="1" x14ac:dyDescent="0.15">
      <c r="B517" s="95"/>
      <c r="C517" s="140"/>
      <c r="D517" s="95"/>
      <c r="E517" s="141"/>
      <c r="F517" s="94"/>
      <c r="G517" s="556"/>
      <c r="H517" s="463" t="str">
        <f t="shared" si="602"/>
        <v/>
      </c>
      <c r="I517" s="451"/>
      <c r="J517" s="506"/>
      <c r="K517" s="507"/>
      <c r="L517" s="506"/>
      <c r="M517" s="507"/>
      <c r="N517" s="507"/>
      <c r="O517" s="507"/>
      <c r="P517" s="508"/>
      <c r="Q517" s="512"/>
      <c r="R517" s="513"/>
      <c r="S517" s="131"/>
      <c r="T517" s="470" t="str">
        <f t="shared" si="603"/>
        <v/>
      </c>
      <c r="V517" s="549"/>
      <c r="W517" s="471">
        <f t="shared" ref="W517:X517" si="626">W516</f>
        <v>20</v>
      </c>
      <c r="X517" s="471" t="e">
        <f t="shared" si="626"/>
        <v>#REF!</v>
      </c>
      <c r="Y517" s="471" t="e">
        <f t="shared" si="605"/>
        <v>#REF!</v>
      </c>
      <c r="Z517" s="471"/>
      <c r="AA517" s="471"/>
    </row>
    <row r="518" spans="1:40" s="470" customFormat="1" ht="15.75" customHeight="1" x14ac:dyDescent="0.15">
      <c r="B518" s="514" t="s">
        <v>851</v>
      </c>
      <c r="C518" s="515"/>
      <c r="D518" s="516"/>
      <c r="E518" s="517"/>
      <c r="F518" s="518"/>
      <c r="G518" s="557"/>
      <c r="H518" s="463" t="str">
        <f t="shared" si="602"/>
        <v/>
      </c>
      <c r="I518" s="520">
        <f>목록!$B$26</f>
        <v>20</v>
      </c>
      <c r="J518" s="521"/>
      <c r="K518" s="522">
        <f>SUM(K504:K517)</f>
        <v>1821</v>
      </c>
      <c r="L518" s="521"/>
      <c r="M518" s="522">
        <f>SUM(M504:M517)</f>
        <v>6798</v>
      </c>
      <c r="N518" s="521"/>
      <c r="O518" s="522">
        <f>SUM(O504:O517)</f>
        <v>15</v>
      </c>
      <c r="P518" s="523"/>
      <c r="Q518" s="512"/>
      <c r="R518" s="513"/>
      <c r="S518" s="524"/>
      <c r="T518" s="470" t="str">
        <f t="shared" si="603"/>
        <v/>
      </c>
      <c r="V518" s="549"/>
      <c r="W518" s="471">
        <f t="shared" ref="W518:X518" si="627">W517</f>
        <v>20</v>
      </c>
      <c r="X518" s="471" t="e">
        <f t="shared" si="627"/>
        <v>#REF!</v>
      </c>
      <c r="Y518" s="471" t="e">
        <f t="shared" si="605"/>
        <v>#REF!</v>
      </c>
      <c r="Z518" s="471"/>
      <c r="AA518" s="471"/>
    </row>
    <row r="519" spans="1:40" s="470" customFormat="1" ht="15.75" customHeight="1" x14ac:dyDescent="0.15">
      <c r="A519" s="457"/>
      <c r="B519" s="453"/>
      <c r="C519" s="209" t="s">
        <v>1023</v>
      </c>
      <c r="D519" s="95"/>
      <c r="E519" s="141"/>
      <c r="F519" s="94"/>
      <c r="G519" s="556"/>
      <c r="H519" s="463" t="str">
        <f t="shared" si="602"/>
        <v>※ 건축표준품셈  14-5 잡철물제작설치</v>
      </c>
      <c r="I519" s="451"/>
      <c r="J519" s="506"/>
      <c r="K519" s="507"/>
      <c r="L519" s="506"/>
      <c r="M519" s="507"/>
      <c r="N519" s="507"/>
      <c r="O519" s="507"/>
      <c r="P519" s="508"/>
      <c r="Q519" s="512"/>
      <c r="R519" s="513"/>
      <c r="S519" s="131"/>
      <c r="T519" s="470" t="str">
        <f t="shared" si="603"/>
        <v/>
      </c>
      <c r="V519" s="549"/>
      <c r="W519" s="615">
        <f t="shared" ref="W519:X519" si="628">W518</f>
        <v>20</v>
      </c>
      <c r="X519" s="471" t="e">
        <f t="shared" si="628"/>
        <v>#REF!</v>
      </c>
      <c r="Y519" s="471" t="e">
        <f t="shared" si="605"/>
        <v>#REF!</v>
      </c>
      <c r="Z519" s="471"/>
      <c r="AA519" s="471"/>
    </row>
    <row r="520" spans="1:40" s="470" customFormat="1" ht="15.75" customHeight="1" x14ac:dyDescent="0.15">
      <c r="B520" s="453"/>
      <c r="C520" s="140" t="s">
        <v>1024</v>
      </c>
      <c r="D520" s="95"/>
      <c r="E520" s="141"/>
      <c r="F520" s="94"/>
      <c r="G520" s="556"/>
      <c r="H520" s="463" t="str">
        <f t="shared" si="602"/>
        <v>※ 각파이프 30*30*1.4T 단위중량 : 1.218kg/m</v>
      </c>
      <c r="I520" s="451"/>
      <c r="J520" s="506"/>
      <c r="K520" s="507"/>
      <c r="L520" s="506"/>
      <c r="M520" s="507"/>
      <c r="N520" s="507"/>
      <c r="O520" s="507"/>
      <c r="P520" s="508"/>
      <c r="Q520" s="512"/>
      <c r="R520" s="513"/>
      <c r="S520" s="131"/>
      <c r="T520" s="470" t="str">
        <f t="shared" si="603"/>
        <v/>
      </c>
      <c r="U520" s="457"/>
      <c r="V520" s="551"/>
      <c r="W520" s="471">
        <f t="shared" ref="W520:X520" si="629">W519</f>
        <v>20</v>
      </c>
      <c r="X520" s="471" t="e">
        <f t="shared" si="629"/>
        <v>#REF!</v>
      </c>
      <c r="Y520" s="471" t="e">
        <f t="shared" si="605"/>
        <v>#REF!</v>
      </c>
      <c r="Z520" s="471"/>
      <c r="AA520" s="471"/>
      <c r="AB520" s="457"/>
      <c r="AC520" s="457"/>
      <c r="AD520" s="457"/>
      <c r="AE520" s="457"/>
      <c r="AF520" s="457"/>
      <c r="AG520" s="457"/>
      <c r="AH520" s="457"/>
      <c r="AI520" s="457"/>
      <c r="AJ520" s="457"/>
      <c r="AK520" s="457"/>
      <c r="AL520" s="457"/>
      <c r="AM520" s="457"/>
      <c r="AN520" s="457"/>
    </row>
    <row r="521" spans="1:40" s="457" customFormat="1" ht="15.75" customHeight="1" x14ac:dyDescent="0.15">
      <c r="A521" s="470"/>
      <c r="B521" s="514"/>
      <c r="C521" s="515"/>
      <c r="D521" s="516"/>
      <c r="E521" s="517"/>
      <c r="F521" s="518"/>
      <c r="G521" s="557"/>
      <c r="H521" s="463" t="str">
        <f t="shared" si="602"/>
        <v/>
      </c>
      <c r="I521" s="520"/>
      <c r="J521" s="521"/>
      <c r="K521" s="522"/>
      <c r="L521" s="521"/>
      <c r="M521" s="522"/>
      <c r="N521" s="521"/>
      <c r="O521" s="522"/>
      <c r="P521" s="523"/>
      <c r="Q521" s="512"/>
      <c r="R521" s="513"/>
      <c r="S521" s="524"/>
      <c r="T521" s="470" t="str">
        <f t="shared" si="603"/>
        <v/>
      </c>
      <c r="U521" s="470"/>
      <c r="V521" s="470"/>
      <c r="W521" s="471">
        <f t="shared" ref="W521:X521" si="630">W520</f>
        <v>20</v>
      </c>
      <c r="X521" s="471" t="e">
        <f t="shared" si="630"/>
        <v>#REF!</v>
      </c>
      <c r="Y521" s="471" t="e">
        <f t="shared" si="605"/>
        <v>#REF!</v>
      </c>
      <c r="Z521" s="471"/>
      <c r="AA521" s="471"/>
      <c r="AB521" s="470"/>
      <c r="AC521" s="470"/>
      <c r="AD521" s="470"/>
      <c r="AE521" s="470"/>
      <c r="AF521" s="470"/>
      <c r="AG521" s="470"/>
      <c r="AH521" s="470"/>
      <c r="AI521" s="470"/>
      <c r="AJ521" s="470"/>
      <c r="AK521" s="470"/>
      <c r="AL521" s="470"/>
      <c r="AM521" s="470"/>
      <c r="AN521" s="470"/>
    </row>
    <row r="522" spans="1:40" s="470" customFormat="1" ht="15.75" customHeight="1" x14ac:dyDescent="0.15">
      <c r="A522" s="457"/>
      <c r="B522" s="457"/>
      <c r="C522" s="458"/>
      <c r="D522" s="459"/>
      <c r="E522" s="460"/>
      <c r="F522" s="461"/>
      <c r="G522" s="553"/>
      <c r="H522" s="463" t="str">
        <f t="shared" ref="H522:H547" si="631">CONCATENATE(C522,E522,F522)</f>
        <v/>
      </c>
      <c r="I522" s="464"/>
      <c r="J522" s="465"/>
      <c r="K522" s="465"/>
      <c r="L522" s="465"/>
      <c r="M522" s="465"/>
      <c r="N522" s="465"/>
      <c r="O522" s="466"/>
      <c r="P522" s="467"/>
      <c r="Q522" s="468"/>
      <c r="R522" s="469"/>
      <c r="S522" s="467"/>
      <c r="T522" s="470" t="str">
        <f t="shared" ref="T522:T547" si="632">CONCATENATE(Q522,R522)</f>
        <v/>
      </c>
      <c r="W522" s="533">
        <f t="shared" ref="W522" si="633">I544</f>
        <v>21</v>
      </c>
      <c r="X522" s="533" t="e">
        <f>#REF!+1</f>
        <v>#REF!</v>
      </c>
      <c r="Y522" s="533" t="e">
        <f t="shared" ref="Y522:Y547" si="634">X522-W522</f>
        <v>#REF!</v>
      </c>
      <c r="Z522" s="533"/>
      <c r="AA522" s="533"/>
    </row>
    <row r="523" spans="1:40" s="470" customFormat="1" ht="15.75" customHeight="1" x14ac:dyDescent="0.15">
      <c r="A523" s="457"/>
      <c r="B523" s="473"/>
      <c r="C523" s="474" t="str">
        <f>"   항목번호 : "&amp;목록!L$27</f>
        <v xml:space="preserve">   항목번호 : 제21호표</v>
      </c>
      <c r="D523" s="475">
        <f>목록!B$27</f>
        <v>21</v>
      </c>
      <c r="E523" s="476"/>
      <c r="F523" s="477"/>
      <c r="G523" s="554"/>
      <c r="H523" s="463" t="str">
        <f t="shared" si="631"/>
        <v xml:space="preserve">   항목번호 : 제21호표</v>
      </c>
      <c r="I523" s="479"/>
      <c r="J523" s="480"/>
      <c r="K523" s="481"/>
      <c r="L523" s="482"/>
      <c r="M523" s="482"/>
      <c r="N523" s="482"/>
      <c r="O523" s="466"/>
      <c r="P523" s="483"/>
      <c r="Q523" s="484"/>
      <c r="R523" s="485"/>
      <c r="S523" s="483"/>
      <c r="T523" s="470" t="str">
        <f t="shared" si="632"/>
        <v/>
      </c>
      <c r="U523" s="457"/>
      <c r="V523" s="551"/>
      <c r="W523" s="471">
        <f t="shared" ref="W523:X523" si="635">W522</f>
        <v>21</v>
      </c>
      <c r="X523" s="471" t="e">
        <f t="shared" si="635"/>
        <v>#REF!</v>
      </c>
      <c r="Y523" s="471" t="e">
        <f t="shared" si="634"/>
        <v>#REF!</v>
      </c>
      <c r="Z523" s="471"/>
      <c r="AA523" s="471"/>
      <c r="AB523" s="457"/>
      <c r="AC523" s="457"/>
      <c r="AD523" s="457"/>
      <c r="AE523" s="457"/>
      <c r="AF523" s="457"/>
      <c r="AG523" s="457"/>
      <c r="AH523" s="457"/>
      <c r="AI523" s="457"/>
      <c r="AJ523" s="457"/>
      <c r="AK523" s="457"/>
      <c r="AL523" s="457"/>
      <c r="AM523" s="457"/>
      <c r="AN523" s="457"/>
    </row>
    <row r="524" spans="1:40" s="457" customFormat="1" ht="15.75" customHeight="1" x14ac:dyDescent="0.15">
      <c r="B524" s="473"/>
      <c r="C524" s="474" t="str">
        <f>"   공      종 : "&amp;목록!D$27</f>
        <v xml:space="preserve">   공      종 : 각파이프구조틀</v>
      </c>
      <c r="D524" s="484"/>
      <c r="E524" s="476"/>
      <c r="F524" s="473"/>
      <c r="G524" s="554"/>
      <c r="H524" s="463" t="str">
        <f t="shared" si="631"/>
        <v xml:space="preserve">   공      종 : 각파이프구조틀</v>
      </c>
      <c r="I524" s="479"/>
      <c r="J524" s="480"/>
      <c r="K524" s="481"/>
      <c r="L524" s="482"/>
      <c r="M524" s="482"/>
      <c r="N524" s="482"/>
      <c r="O524" s="466"/>
      <c r="P524" s="483"/>
      <c r="Q524" s="484"/>
      <c r="R524" s="485"/>
      <c r="S524" s="483"/>
      <c r="T524" s="470" t="str">
        <f t="shared" si="632"/>
        <v/>
      </c>
      <c r="V524" s="470"/>
      <c r="W524" s="471">
        <f t="shared" ref="W524:X524" si="636">W523</f>
        <v>21</v>
      </c>
      <c r="X524" s="471" t="e">
        <f t="shared" si="636"/>
        <v>#REF!</v>
      </c>
      <c r="Y524" s="471" t="e">
        <f t="shared" si="634"/>
        <v>#REF!</v>
      </c>
      <c r="Z524" s="471"/>
      <c r="AA524" s="471"/>
    </row>
    <row r="525" spans="1:40" s="457" customFormat="1" ht="15.75" customHeight="1" x14ac:dyDescent="0.15">
      <c r="B525" s="473"/>
      <c r="C525" s="474" t="str">
        <f xml:space="preserve"> "   규      격 : "&amp;목록!F$27</f>
        <v xml:space="preserve">   규      격 : 30*30*1.4T(S),@450</v>
      </c>
      <c r="D525" s="484"/>
      <c r="E525" s="476"/>
      <c r="F525" s="473"/>
      <c r="G525" s="554"/>
      <c r="H525" s="463" t="str">
        <f t="shared" si="631"/>
        <v xml:space="preserve">   규      격 : 30*30*1.4T(S),@450</v>
      </c>
      <c r="I525" s="479"/>
      <c r="J525" s="480" t="s">
        <v>348</v>
      </c>
      <c r="K525" s="481"/>
      <c r="L525" s="482" t="s">
        <v>349</v>
      </c>
      <c r="M525" s="482"/>
      <c r="N525" s="482" t="s">
        <v>240</v>
      </c>
      <c r="O525" s="466"/>
      <c r="P525" s="483"/>
      <c r="Q525" s="484" t="s">
        <v>808</v>
      </c>
      <c r="R525" s="484"/>
      <c r="S525" s="483"/>
      <c r="T525" s="470" t="str">
        <f t="shared" si="632"/>
        <v>합계</v>
      </c>
      <c r="V525" s="547"/>
      <c r="W525" s="471">
        <f t="shared" ref="W525:X525" si="637">W524</f>
        <v>21</v>
      </c>
      <c r="X525" s="471" t="e">
        <f t="shared" si="637"/>
        <v>#REF!</v>
      </c>
      <c r="Y525" s="471" t="e">
        <f t="shared" si="634"/>
        <v>#REF!</v>
      </c>
      <c r="Z525" s="471"/>
      <c r="AA525" s="471"/>
    </row>
    <row r="526" spans="1:40" s="457" customFormat="1" ht="15.75" customHeight="1" x14ac:dyDescent="0.15">
      <c r="B526" s="473"/>
      <c r="C526" s="474" t="str">
        <f>"   단      위 : "&amp;목록!G$27</f>
        <v xml:space="preserve">   단      위 : ㎡</v>
      </c>
      <c r="D526" s="484"/>
      <c r="E526" s="476"/>
      <c r="F526" s="473"/>
      <c r="G526" s="554"/>
      <c r="H526" s="463" t="str">
        <f t="shared" si="631"/>
        <v xml:space="preserve">   단      위 : ㎡</v>
      </c>
      <c r="I526" s="479"/>
      <c r="J526" s="486">
        <f>K544</f>
        <v>12173</v>
      </c>
      <c r="K526" s="481"/>
      <c r="L526" s="487">
        <f>M544</f>
        <v>53614</v>
      </c>
      <c r="M526" s="482"/>
      <c r="N526" s="482">
        <f>O544</f>
        <v>78</v>
      </c>
      <c r="O526" s="466"/>
      <c r="P526" s="483"/>
      <c r="Q526" s="488">
        <f>J526+L526+N526</f>
        <v>65865</v>
      </c>
      <c r="R526" s="489"/>
      <c r="S526" s="483"/>
      <c r="T526" s="470" t="str">
        <f t="shared" si="632"/>
        <v>65865</v>
      </c>
      <c r="V526" s="547"/>
      <c r="W526" s="471">
        <f t="shared" ref="W526:X526" si="638">W525</f>
        <v>21</v>
      </c>
      <c r="X526" s="471" t="e">
        <f t="shared" si="638"/>
        <v>#REF!</v>
      </c>
      <c r="Y526" s="471" t="e">
        <f t="shared" si="634"/>
        <v>#REF!</v>
      </c>
      <c r="Z526" s="471"/>
      <c r="AA526" s="471"/>
    </row>
    <row r="527" spans="1:40" s="457" customFormat="1" ht="15.75" customHeight="1" x14ac:dyDescent="0.15">
      <c r="B527" s="473"/>
      <c r="C527" s="474"/>
      <c r="D527" s="484"/>
      <c r="E527" s="476"/>
      <c r="F527" s="473"/>
      <c r="G527" s="555"/>
      <c r="H527" s="463" t="str">
        <f t="shared" si="631"/>
        <v/>
      </c>
      <c r="I527" s="491"/>
      <c r="J527" s="482"/>
      <c r="K527" s="465"/>
      <c r="L527" s="482"/>
      <c r="M527" s="482"/>
      <c r="N527" s="482"/>
      <c r="O527" s="466"/>
      <c r="P527" s="492"/>
      <c r="Q527" s="493"/>
      <c r="R527" s="485"/>
      <c r="S527" s="492"/>
      <c r="T527" s="470" t="str">
        <f t="shared" si="632"/>
        <v/>
      </c>
      <c r="V527" s="547"/>
      <c r="W527" s="471">
        <f t="shared" ref="W527:X527" si="639">W526</f>
        <v>21</v>
      </c>
      <c r="X527" s="471" t="e">
        <f t="shared" si="639"/>
        <v>#REF!</v>
      </c>
      <c r="Y527" s="471" t="e">
        <f t="shared" si="634"/>
        <v>#REF!</v>
      </c>
      <c r="Z527" s="471"/>
      <c r="AA527" s="471"/>
    </row>
    <row r="528" spans="1:40" s="457" customFormat="1" ht="15.75" customHeight="1" x14ac:dyDescent="0.15">
      <c r="B528" s="899" t="s">
        <v>375</v>
      </c>
      <c r="C528" s="900"/>
      <c r="D528" s="915" t="s">
        <v>356</v>
      </c>
      <c r="E528" s="908"/>
      <c r="F528" s="903" t="s">
        <v>809</v>
      </c>
      <c r="G528" s="911" t="s">
        <v>810</v>
      </c>
      <c r="H528" s="463" t="str">
        <f t="shared" si="631"/>
        <v>단위</v>
      </c>
      <c r="I528" s="494"/>
      <c r="J528" s="495" t="s">
        <v>348</v>
      </c>
      <c r="K528" s="496"/>
      <c r="L528" s="495" t="s">
        <v>349</v>
      </c>
      <c r="M528" s="496"/>
      <c r="N528" s="497" t="s">
        <v>240</v>
      </c>
      <c r="O528" s="497"/>
      <c r="P528" s="498"/>
      <c r="Q528" s="744" t="s">
        <v>355</v>
      </c>
      <c r="R528" s="744"/>
      <c r="S528" s="499"/>
      <c r="T528" s="470" t="str">
        <f t="shared" si="632"/>
        <v>비  고</v>
      </c>
      <c r="V528" s="547"/>
      <c r="W528" s="471">
        <f t="shared" ref="W528:X528" si="640">W527</f>
        <v>21</v>
      </c>
      <c r="X528" s="471" t="e">
        <f t="shared" si="640"/>
        <v>#REF!</v>
      </c>
      <c r="Y528" s="471" t="e">
        <f t="shared" si="634"/>
        <v>#REF!</v>
      </c>
      <c r="Z528" s="471"/>
      <c r="AA528" s="471"/>
    </row>
    <row r="529" spans="1:40" s="457" customFormat="1" ht="15.75" customHeight="1" x14ac:dyDescent="0.15">
      <c r="A529" s="547"/>
      <c r="B529" s="901"/>
      <c r="C529" s="902"/>
      <c r="D529" s="916"/>
      <c r="E529" s="910"/>
      <c r="F529" s="904"/>
      <c r="G529" s="912"/>
      <c r="H529" s="463" t="str">
        <f t="shared" si="631"/>
        <v/>
      </c>
      <c r="I529" s="500"/>
      <c r="J529" s="501" t="s">
        <v>353</v>
      </c>
      <c r="K529" s="501" t="s">
        <v>354</v>
      </c>
      <c r="L529" s="501" t="s">
        <v>353</v>
      </c>
      <c r="M529" s="502" t="s">
        <v>354</v>
      </c>
      <c r="N529" s="501" t="s">
        <v>353</v>
      </c>
      <c r="O529" s="501" t="s">
        <v>354</v>
      </c>
      <c r="P529" s="503"/>
      <c r="Q529" s="745"/>
      <c r="R529" s="745"/>
      <c r="S529" s="504"/>
      <c r="T529" s="470" t="str">
        <f t="shared" si="632"/>
        <v/>
      </c>
      <c r="V529" s="547"/>
      <c r="W529" s="471">
        <f t="shared" ref="W529:X529" si="641">W528</f>
        <v>21</v>
      </c>
      <c r="X529" s="471" t="e">
        <f t="shared" si="641"/>
        <v>#REF!</v>
      </c>
      <c r="Y529" s="471" t="e">
        <f t="shared" si="634"/>
        <v>#REF!</v>
      </c>
      <c r="Z529" s="471"/>
      <c r="AA529" s="471"/>
    </row>
    <row r="530" spans="1:40" s="457" customFormat="1" ht="15.75" customHeight="1" x14ac:dyDescent="0.15">
      <c r="A530" s="547"/>
      <c r="B530" s="95"/>
      <c r="C530" s="440" t="s">
        <v>857</v>
      </c>
      <c r="D530" s="95"/>
      <c r="E530" s="141" t="s">
        <v>864</v>
      </c>
      <c r="F530" s="94" t="s">
        <v>771</v>
      </c>
      <c r="G530" s="556">
        <f>TRUNC(((3*7)+(3*8))/(3*3),4)</f>
        <v>5</v>
      </c>
      <c r="H530" s="463" t="str">
        <f t="shared" si="631"/>
        <v>각파이프30*30*1.4T(S)m</v>
      </c>
      <c r="I530" s="451" t="str">
        <f>CONCATENATE(C530,E530,F530)</f>
        <v>각파이프30*30*1.4T(S)m</v>
      </c>
      <c r="J530" s="506">
        <f>VLOOKUP($H530,목록!$A:$K,8,FALSE)</f>
        <v>1821</v>
      </c>
      <c r="K530" s="507">
        <f>IF(J530="","",TRUNC($G530*J530,0))</f>
        <v>9105</v>
      </c>
      <c r="L530" s="506">
        <f>VLOOKUP($H530,목록!$A:$K,9,FALSE)</f>
        <v>6798</v>
      </c>
      <c r="M530" s="507">
        <f>IF(L530="","",TRUNC($G530*L530,0))</f>
        <v>33990</v>
      </c>
      <c r="N530" s="506">
        <f>VLOOKUP($H530,목록!$A:$K,10,FALSE)</f>
        <v>15</v>
      </c>
      <c r="O530" s="507">
        <f>IF(N530="","",TRUNC($G530*N530,0))</f>
        <v>75</v>
      </c>
      <c r="P530" s="508"/>
      <c r="Q530" s="509" t="str">
        <f>"제"&amp;VLOOKUP($H:$H,목록!$A:$B,2,FALSE)&amp;"호표"</f>
        <v>제20호표</v>
      </c>
      <c r="R530" s="550"/>
      <c r="S530" s="131"/>
      <c r="T530" s="470" t="str">
        <f t="shared" si="632"/>
        <v>제20호표</v>
      </c>
      <c r="V530" s="548"/>
      <c r="W530" s="471">
        <f t="shared" ref="W530:X530" si="642">W529</f>
        <v>21</v>
      </c>
      <c r="X530" s="471" t="e">
        <f t="shared" si="642"/>
        <v>#REF!</v>
      </c>
      <c r="Y530" s="471" t="e">
        <f t="shared" si="634"/>
        <v>#REF!</v>
      </c>
      <c r="Z530" s="471"/>
      <c r="AA530" s="471"/>
    </row>
    <row r="531" spans="1:40" s="457" customFormat="1" ht="15.75" customHeight="1" x14ac:dyDescent="0.15">
      <c r="A531" s="470"/>
      <c r="B531" s="95"/>
      <c r="C531" s="440" t="s">
        <v>865</v>
      </c>
      <c r="D531" s="95"/>
      <c r="E531" s="141" t="s">
        <v>866</v>
      </c>
      <c r="F531" s="94" t="s">
        <v>867</v>
      </c>
      <c r="G531" s="556">
        <v>1</v>
      </c>
      <c r="H531" s="463" t="str">
        <f t="shared" si="631"/>
        <v>각파이프구조틀보강30*30*1.4T(S),@450㎡</v>
      </c>
      <c r="I531" s="451" t="str">
        <f>CONCATENATE(C531,E531,F531)</f>
        <v>각파이프구조틀보강30*30*1.4T(S),@450㎡</v>
      </c>
      <c r="J531" s="506">
        <f>VLOOKUP($H531,목록!$A:$K,8,FALSE)</f>
        <v>3068</v>
      </c>
      <c r="K531" s="507">
        <f>IF(J531="","",TRUNC($G531*J531,0))</f>
        <v>3068</v>
      </c>
      <c r="L531" s="506">
        <f>VLOOKUP($H531,목록!$A:$K,9,FALSE)</f>
        <v>19624</v>
      </c>
      <c r="M531" s="507">
        <f>IF(L531="","",TRUNC($G531*L531,0))</f>
        <v>19624</v>
      </c>
      <c r="N531" s="506">
        <f>VLOOKUP($H531,목록!$A:$K,10,FALSE)</f>
        <v>3</v>
      </c>
      <c r="O531" s="507">
        <f>IF(N531="","",TRUNC($G531*N531,0))</f>
        <v>3</v>
      </c>
      <c r="P531" s="508"/>
      <c r="Q531" s="509" t="str">
        <f>"제"&amp;VLOOKUP($H:$H,목록!$A:$B,2,FALSE)&amp;"호표"</f>
        <v>제22호표</v>
      </c>
      <c r="R531" s="550"/>
      <c r="S531" s="131"/>
      <c r="T531" s="470" t="str">
        <f t="shared" si="632"/>
        <v>제22호표</v>
      </c>
      <c r="V531" s="548"/>
      <c r="W531" s="471">
        <f t="shared" ref="W531:X531" si="643">W530</f>
        <v>21</v>
      </c>
      <c r="X531" s="471" t="e">
        <f t="shared" si="643"/>
        <v>#REF!</v>
      </c>
      <c r="Y531" s="471" t="e">
        <f t="shared" si="634"/>
        <v>#REF!</v>
      </c>
      <c r="Z531" s="471"/>
      <c r="AA531" s="471"/>
    </row>
    <row r="532" spans="1:40" s="457" customFormat="1" ht="15.75" customHeight="1" x14ac:dyDescent="0.15">
      <c r="A532" s="470"/>
      <c r="B532" s="95"/>
      <c r="C532" s="140"/>
      <c r="D532" s="95"/>
      <c r="E532" s="141"/>
      <c r="F532" s="94"/>
      <c r="G532" s="556"/>
      <c r="H532" s="463" t="str">
        <f t="shared" si="631"/>
        <v/>
      </c>
      <c r="I532" s="451"/>
      <c r="J532" s="506"/>
      <c r="K532" s="507"/>
      <c r="L532" s="506"/>
      <c r="M532" s="507"/>
      <c r="N532" s="507"/>
      <c r="O532" s="507"/>
      <c r="P532" s="508"/>
      <c r="Q532" s="512"/>
      <c r="R532" s="513"/>
      <c r="S532" s="131"/>
      <c r="T532" s="470" t="str">
        <f t="shared" si="632"/>
        <v/>
      </c>
      <c r="U532" s="470"/>
      <c r="V532" s="549"/>
      <c r="W532" s="471">
        <f t="shared" ref="W532:X532" si="644">W531</f>
        <v>21</v>
      </c>
      <c r="X532" s="471" t="e">
        <f t="shared" si="644"/>
        <v>#REF!</v>
      </c>
      <c r="Y532" s="471" t="e">
        <f t="shared" si="634"/>
        <v>#REF!</v>
      </c>
      <c r="Z532" s="471"/>
      <c r="AA532" s="471"/>
      <c r="AB532" s="470"/>
      <c r="AC532" s="470"/>
      <c r="AD532" s="470"/>
      <c r="AE532" s="470"/>
      <c r="AF532" s="470"/>
      <c r="AG532" s="470"/>
      <c r="AH532" s="470"/>
      <c r="AI532" s="470"/>
      <c r="AJ532" s="470"/>
      <c r="AK532" s="470"/>
      <c r="AL532" s="470"/>
      <c r="AM532" s="470"/>
      <c r="AN532" s="470"/>
    </row>
    <row r="533" spans="1:40" s="470" customFormat="1" ht="15.75" customHeight="1" x14ac:dyDescent="0.15">
      <c r="B533" s="95"/>
      <c r="C533" s="140"/>
      <c r="D533" s="95"/>
      <c r="E533" s="141"/>
      <c r="F533" s="94"/>
      <c r="G533" s="556"/>
      <c r="H533" s="463" t="str">
        <f t="shared" si="631"/>
        <v/>
      </c>
      <c r="I533" s="451"/>
      <c r="J533" s="506"/>
      <c r="K533" s="507"/>
      <c r="L533" s="506"/>
      <c r="M533" s="507"/>
      <c r="N533" s="507"/>
      <c r="O533" s="507"/>
      <c r="P533" s="508"/>
      <c r="Q533" s="512"/>
      <c r="R533" s="534"/>
      <c r="S533" s="131"/>
      <c r="T533" s="470" t="str">
        <f t="shared" si="632"/>
        <v/>
      </c>
      <c r="V533" s="549"/>
      <c r="W533" s="471">
        <f t="shared" ref="W533:X533" si="645">W532</f>
        <v>21</v>
      </c>
      <c r="X533" s="471" t="e">
        <f t="shared" si="645"/>
        <v>#REF!</v>
      </c>
      <c r="Y533" s="471" t="e">
        <f t="shared" si="634"/>
        <v>#REF!</v>
      </c>
      <c r="Z533" s="471"/>
      <c r="AA533" s="471"/>
    </row>
    <row r="534" spans="1:40" s="470" customFormat="1" ht="15.75" customHeight="1" x14ac:dyDescent="0.15">
      <c r="B534" s="95"/>
      <c r="C534" s="140"/>
      <c r="D534" s="95"/>
      <c r="E534" s="141"/>
      <c r="F534" s="94"/>
      <c r="G534" s="556"/>
      <c r="H534" s="463" t="str">
        <f t="shared" si="631"/>
        <v/>
      </c>
      <c r="I534" s="451"/>
      <c r="J534" s="506"/>
      <c r="K534" s="507"/>
      <c r="L534" s="506"/>
      <c r="M534" s="507"/>
      <c r="N534" s="507"/>
      <c r="O534" s="507"/>
      <c r="P534" s="508"/>
      <c r="Q534" s="512"/>
      <c r="R534" s="534"/>
      <c r="S534" s="131"/>
      <c r="T534" s="470" t="str">
        <f t="shared" si="632"/>
        <v/>
      </c>
      <c r="V534" s="549"/>
      <c r="W534" s="471">
        <f t="shared" ref="W534:X534" si="646">W533</f>
        <v>21</v>
      </c>
      <c r="X534" s="471" t="e">
        <f t="shared" si="646"/>
        <v>#REF!</v>
      </c>
      <c r="Y534" s="471" t="e">
        <f t="shared" si="634"/>
        <v>#REF!</v>
      </c>
      <c r="Z534" s="471"/>
      <c r="AA534" s="471"/>
    </row>
    <row r="535" spans="1:40" s="470" customFormat="1" ht="15.75" customHeight="1" x14ac:dyDescent="0.15">
      <c r="B535" s="95"/>
      <c r="C535" s="140"/>
      <c r="D535" s="95"/>
      <c r="E535" s="141"/>
      <c r="F535" s="94"/>
      <c r="G535" s="556"/>
      <c r="H535" s="463" t="str">
        <f t="shared" si="631"/>
        <v/>
      </c>
      <c r="I535" s="451"/>
      <c r="J535" s="506"/>
      <c r="K535" s="507"/>
      <c r="L535" s="506"/>
      <c r="M535" s="507"/>
      <c r="N535" s="507"/>
      <c r="O535" s="507"/>
      <c r="P535" s="508"/>
      <c r="Q535" s="512"/>
      <c r="R535" s="534"/>
      <c r="S535" s="131"/>
      <c r="T535" s="470" t="str">
        <f t="shared" si="632"/>
        <v/>
      </c>
      <c r="V535" s="549"/>
      <c r="W535" s="471">
        <f t="shared" ref="W535:X535" si="647">W534</f>
        <v>21</v>
      </c>
      <c r="X535" s="471" t="e">
        <f t="shared" si="647"/>
        <v>#REF!</v>
      </c>
      <c r="Y535" s="471" t="e">
        <f t="shared" si="634"/>
        <v>#REF!</v>
      </c>
      <c r="Z535" s="471"/>
      <c r="AA535" s="471"/>
    </row>
    <row r="536" spans="1:40" s="470" customFormat="1" ht="15.75" customHeight="1" x14ac:dyDescent="0.15">
      <c r="B536" s="95"/>
      <c r="C536" s="140"/>
      <c r="D536" s="95"/>
      <c r="E536" s="141"/>
      <c r="F536" s="94"/>
      <c r="G536" s="556"/>
      <c r="H536" s="463" t="str">
        <f t="shared" si="631"/>
        <v/>
      </c>
      <c r="I536" s="451"/>
      <c r="J536" s="506"/>
      <c r="K536" s="507"/>
      <c r="L536" s="506"/>
      <c r="M536" s="507"/>
      <c r="N536" s="507"/>
      <c r="O536" s="507"/>
      <c r="P536" s="508"/>
      <c r="Q536" s="512"/>
      <c r="R536" s="513"/>
      <c r="S536" s="131"/>
      <c r="T536" s="470" t="str">
        <f t="shared" si="632"/>
        <v/>
      </c>
      <c r="V536" s="549"/>
      <c r="W536" s="471">
        <f t="shared" ref="W536:X536" si="648">W535</f>
        <v>21</v>
      </c>
      <c r="X536" s="471" t="e">
        <f t="shared" si="648"/>
        <v>#REF!</v>
      </c>
      <c r="Y536" s="471" t="e">
        <f t="shared" si="634"/>
        <v>#REF!</v>
      </c>
      <c r="Z536" s="471"/>
      <c r="AA536" s="471"/>
    </row>
    <row r="537" spans="1:40" s="470" customFormat="1" ht="15.75" customHeight="1" x14ac:dyDescent="0.15">
      <c r="B537" s="95"/>
      <c r="C537" s="140"/>
      <c r="D537" s="95"/>
      <c r="E537" s="141"/>
      <c r="F537" s="94"/>
      <c r="G537" s="556"/>
      <c r="H537" s="463" t="str">
        <f t="shared" si="631"/>
        <v/>
      </c>
      <c r="I537" s="451"/>
      <c r="J537" s="506"/>
      <c r="K537" s="507"/>
      <c r="L537" s="506"/>
      <c r="M537" s="507"/>
      <c r="N537" s="507"/>
      <c r="O537" s="507"/>
      <c r="P537" s="508"/>
      <c r="Q537" s="512"/>
      <c r="R537" s="534"/>
      <c r="S537" s="131"/>
      <c r="T537" s="470" t="str">
        <f t="shared" si="632"/>
        <v/>
      </c>
      <c r="V537" s="549"/>
      <c r="W537" s="471">
        <f t="shared" ref="W537:X537" si="649">W536</f>
        <v>21</v>
      </c>
      <c r="X537" s="471" t="e">
        <f t="shared" si="649"/>
        <v>#REF!</v>
      </c>
      <c r="Y537" s="471" t="e">
        <f t="shared" si="634"/>
        <v>#REF!</v>
      </c>
      <c r="Z537" s="471"/>
      <c r="AA537" s="471"/>
    </row>
    <row r="538" spans="1:40" s="470" customFormat="1" ht="15.75" customHeight="1" x14ac:dyDescent="0.15">
      <c r="B538" s="95"/>
      <c r="C538" s="140"/>
      <c r="D538" s="95"/>
      <c r="E538" s="141"/>
      <c r="F538" s="94"/>
      <c r="G538" s="556"/>
      <c r="H538" s="463" t="str">
        <f t="shared" si="631"/>
        <v/>
      </c>
      <c r="I538" s="451"/>
      <c r="J538" s="506"/>
      <c r="K538" s="507"/>
      <c r="L538" s="506"/>
      <c r="M538" s="507"/>
      <c r="N538" s="507"/>
      <c r="O538" s="507"/>
      <c r="P538" s="508"/>
      <c r="Q538" s="512"/>
      <c r="R538" s="513"/>
      <c r="S538" s="131"/>
      <c r="T538" s="470" t="str">
        <f t="shared" si="632"/>
        <v/>
      </c>
      <c r="V538" s="549"/>
      <c r="W538" s="471">
        <f t="shared" ref="W538:X538" si="650">W537</f>
        <v>21</v>
      </c>
      <c r="X538" s="471" t="e">
        <f t="shared" si="650"/>
        <v>#REF!</v>
      </c>
      <c r="Y538" s="471" t="e">
        <f t="shared" si="634"/>
        <v>#REF!</v>
      </c>
      <c r="Z538" s="471"/>
      <c r="AA538" s="471"/>
    </row>
    <row r="539" spans="1:40" s="470" customFormat="1" ht="15.75" customHeight="1" x14ac:dyDescent="0.15">
      <c r="B539" s="95"/>
      <c r="C539" s="140"/>
      <c r="D539" s="95"/>
      <c r="E539" s="141"/>
      <c r="F539" s="94"/>
      <c r="G539" s="556"/>
      <c r="H539" s="463" t="str">
        <f t="shared" si="631"/>
        <v/>
      </c>
      <c r="I539" s="451"/>
      <c r="J539" s="506"/>
      <c r="K539" s="507"/>
      <c r="L539" s="506"/>
      <c r="M539" s="507"/>
      <c r="N539" s="507"/>
      <c r="O539" s="507"/>
      <c r="P539" s="508"/>
      <c r="Q539" s="512"/>
      <c r="R539" s="513"/>
      <c r="S539" s="131"/>
      <c r="T539" s="470" t="str">
        <f t="shared" si="632"/>
        <v/>
      </c>
      <c r="V539" s="549"/>
      <c r="W539" s="471">
        <f t="shared" ref="W539:X539" si="651">W538</f>
        <v>21</v>
      </c>
      <c r="X539" s="471" t="e">
        <f t="shared" si="651"/>
        <v>#REF!</v>
      </c>
      <c r="Y539" s="471" t="e">
        <f t="shared" si="634"/>
        <v>#REF!</v>
      </c>
      <c r="Z539" s="471"/>
      <c r="AA539" s="471"/>
    </row>
    <row r="540" spans="1:40" s="470" customFormat="1" ht="15.75" customHeight="1" x14ac:dyDescent="0.15">
      <c r="B540" s="95"/>
      <c r="C540" s="140"/>
      <c r="D540" s="95"/>
      <c r="E540" s="141"/>
      <c r="F540" s="94"/>
      <c r="G540" s="556"/>
      <c r="H540" s="463" t="str">
        <f t="shared" si="631"/>
        <v/>
      </c>
      <c r="I540" s="451"/>
      <c r="J540" s="506"/>
      <c r="K540" s="507"/>
      <c r="L540" s="506"/>
      <c r="M540" s="507"/>
      <c r="N540" s="507"/>
      <c r="O540" s="507"/>
      <c r="P540" s="508"/>
      <c r="Q540" s="512"/>
      <c r="R540" s="513"/>
      <c r="S540" s="131"/>
      <c r="T540" s="470" t="str">
        <f t="shared" si="632"/>
        <v/>
      </c>
      <c r="V540" s="549"/>
      <c r="W540" s="471">
        <f t="shared" ref="W540:X540" si="652">W539</f>
        <v>21</v>
      </c>
      <c r="X540" s="471" t="e">
        <f t="shared" si="652"/>
        <v>#REF!</v>
      </c>
      <c r="Y540" s="471" t="e">
        <f t="shared" si="634"/>
        <v>#REF!</v>
      </c>
      <c r="Z540" s="471"/>
      <c r="AA540" s="471"/>
    </row>
    <row r="541" spans="1:40" s="470" customFormat="1" ht="15.75" customHeight="1" x14ac:dyDescent="0.15">
      <c r="B541" s="95"/>
      <c r="C541" s="140"/>
      <c r="D541" s="95"/>
      <c r="E541" s="141"/>
      <c r="F541" s="94"/>
      <c r="G541" s="556"/>
      <c r="H541" s="463" t="str">
        <f t="shared" si="631"/>
        <v/>
      </c>
      <c r="I541" s="451"/>
      <c r="J541" s="506"/>
      <c r="K541" s="507"/>
      <c r="L541" s="506"/>
      <c r="M541" s="507"/>
      <c r="N541" s="507"/>
      <c r="O541" s="507"/>
      <c r="P541" s="508"/>
      <c r="Q541" s="512"/>
      <c r="R541" s="513"/>
      <c r="S541" s="131"/>
      <c r="T541" s="470" t="str">
        <f t="shared" si="632"/>
        <v/>
      </c>
      <c r="V541" s="549"/>
      <c r="W541" s="471">
        <f t="shared" ref="W541:X541" si="653">W540</f>
        <v>21</v>
      </c>
      <c r="X541" s="471" t="e">
        <f t="shared" si="653"/>
        <v>#REF!</v>
      </c>
      <c r="Y541" s="471" t="e">
        <f t="shared" si="634"/>
        <v>#REF!</v>
      </c>
      <c r="Z541" s="471"/>
      <c r="AA541" s="471"/>
    </row>
    <row r="542" spans="1:40" s="470" customFormat="1" ht="15.75" customHeight="1" x14ac:dyDescent="0.15">
      <c r="B542" s="95"/>
      <c r="C542" s="140"/>
      <c r="D542" s="95"/>
      <c r="E542" s="141"/>
      <c r="F542" s="94"/>
      <c r="G542" s="556"/>
      <c r="H542" s="463" t="str">
        <f t="shared" si="631"/>
        <v/>
      </c>
      <c r="I542" s="451"/>
      <c r="J542" s="506"/>
      <c r="K542" s="507"/>
      <c r="L542" s="506"/>
      <c r="M542" s="507"/>
      <c r="N542" s="507"/>
      <c r="O542" s="507"/>
      <c r="P542" s="508"/>
      <c r="Q542" s="512"/>
      <c r="R542" s="513"/>
      <c r="S542" s="131"/>
      <c r="T542" s="470" t="str">
        <f t="shared" si="632"/>
        <v/>
      </c>
      <c r="V542" s="549"/>
      <c r="W542" s="471">
        <f t="shared" ref="W542:X542" si="654">W541</f>
        <v>21</v>
      </c>
      <c r="X542" s="471" t="e">
        <f t="shared" si="654"/>
        <v>#REF!</v>
      </c>
      <c r="Y542" s="471" t="e">
        <f t="shared" si="634"/>
        <v>#REF!</v>
      </c>
      <c r="Z542" s="471"/>
      <c r="AA542" s="471"/>
    </row>
    <row r="543" spans="1:40" s="470" customFormat="1" ht="15.75" customHeight="1" x14ac:dyDescent="0.15">
      <c r="B543" s="95"/>
      <c r="C543" s="140"/>
      <c r="D543" s="95"/>
      <c r="E543" s="141"/>
      <c r="F543" s="94"/>
      <c r="G543" s="556"/>
      <c r="H543" s="463" t="str">
        <f t="shared" si="631"/>
        <v/>
      </c>
      <c r="I543" s="451"/>
      <c r="J543" s="506"/>
      <c r="K543" s="507"/>
      <c r="L543" s="506"/>
      <c r="M543" s="507"/>
      <c r="N543" s="507"/>
      <c r="O543" s="507"/>
      <c r="P543" s="508"/>
      <c r="Q543" s="512"/>
      <c r="R543" s="513"/>
      <c r="S543" s="131"/>
      <c r="T543" s="470" t="str">
        <f t="shared" si="632"/>
        <v/>
      </c>
      <c r="V543" s="549"/>
      <c r="W543" s="471">
        <f t="shared" ref="W543:X543" si="655">W542</f>
        <v>21</v>
      </c>
      <c r="X543" s="471" t="e">
        <f t="shared" si="655"/>
        <v>#REF!</v>
      </c>
      <c r="Y543" s="471" t="e">
        <f t="shared" si="634"/>
        <v>#REF!</v>
      </c>
      <c r="Z543" s="471"/>
      <c r="AA543" s="471"/>
    </row>
    <row r="544" spans="1:40" s="470" customFormat="1" ht="15.75" customHeight="1" x14ac:dyDescent="0.15">
      <c r="B544" s="514" t="s">
        <v>813</v>
      </c>
      <c r="C544" s="515"/>
      <c r="D544" s="516"/>
      <c r="E544" s="517"/>
      <c r="F544" s="518"/>
      <c r="G544" s="557"/>
      <c r="H544" s="463" t="str">
        <f t="shared" si="631"/>
        <v/>
      </c>
      <c r="I544" s="520">
        <f>목록!$B$27</f>
        <v>21</v>
      </c>
      <c r="J544" s="521"/>
      <c r="K544" s="522">
        <f>SUM(K530:K543)</f>
        <v>12173</v>
      </c>
      <c r="L544" s="521"/>
      <c r="M544" s="522">
        <f>SUM(M530:M543)</f>
        <v>53614</v>
      </c>
      <c r="N544" s="521"/>
      <c r="O544" s="522">
        <f>SUM(O530:O543)</f>
        <v>78</v>
      </c>
      <c r="P544" s="523"/>
      <c r="Q544" s="512"/>
      <c r="R544" s="513"/>
      <c r="S544" s="524"/>
      <c r="T544" s="470" t="str">
        <f t="shared" si="632"/>
        <v/>
      </c>
      <c r="V544" s="549"/>
      <c r="W544" s="471">
        <f t="shared" ref="W544:X544" si="656">W543</f>
        <v>21</v>
      </c>
      <c r="X544" s="471" t="e">
        <f t="shared" si="656"/>
        <v>#REF!</v>
      </c>
      <c r="Y544" s="471" t="e">
        <f t="shared" si="634"/>
        <v>#REF!</v>
      </c>
      <c r="Z544" s="471"/>
      <c r="AA544" s="471"/>
    </row>
    <row r="545" spans="1:40" s="470" customFormat="1" ht="15.75" customHeight="1" x14ac:dyDescent="0.15">
      <c r="A545" s="457"/>
      <c r="B545" s="453"/>
      <c r="C545" s="209" t="s">
        <v>1023</v>
      </c>
      <c r="D545" s="95"/>
      <c r="E545" s="141"/>
      <c r="F545" s="94"/>
      <c r="G545" s="556"/>
      <c r="H545" s="463" t="str">
        <f t="shared" si="631"/>
        <v>※ 건축표준품셈  14-5 잡철물제작설치</v>
      </c>
      <c r="I545" s="451"/>
      <c r="J545" s="506"/>
      <c r="K545" s="507"/>
      <c r="L545" s="506"/>
      <c r="M545" s="507"/>
      <c r="N545" s="507"/>
      <c r="O545" s="507"/>
      <c r="P545" s="508"/>
      <c r="Q545" s="512"/>
      <c r="R545" s="513"/>
      <c r="S545" s="131"/>
      <c r="T545" s="470" t="str">
        <f t="shared" si="632"/>
        <v/>
      </c>
      <c r="V545" s="549"/>
      <c r="W545" s="615">
        <f t="shared" ref="W545:X545" si="657">W544</f>
        <v>21</v>
      </c>
      <c r="X545" s="471" t="e">
        <f t="shared" si="657"/>
        <v>#REF!</v>
      </c>
      <c r="Y545" s="471" t="e">
        <f t="shared" si="634"/>
        <v>#REF!</v>
      </c>
      <c r="Z545" s="471"/>
      <c r="AA545" s="471"/>
    </row>
    <row r="546" spans="1:40" s="470" customFormat="1" ht="15.75" customHeight="1" x14ac:dyDescent="0.15">
      <c r="B546" s="453"/>
      <c r="C546" s="140" t="s">
        <v>1434</v>
      </c>
      <c r="D546" s="95"/>
      <c r="E546" s="141"/>
      <c r="F546" s="94"/>
      <c r="G546" s="556"/>
      <c r="H546" s="463" t="str">
        <f t="shared" si="631"/>
        <v>※ ㎡당 산출기준 : 현장기준 높이 3m의 벽체를 3m설치하였을 때 평균적 용량</v>
      </c>
      <c r="I546" s="451"/>
      <c r="J546" s="506"/>
      <c r="K546" s="507"/>
      <c r="L546" s="506"/>
      <c r="M546" s="507"/>
      <c r="N546" s="507"/>
      <c r="O546" s="507"/>
      <c r="P546" s="508"/>
      <c r="Q546" s="512"/>
      <c r="R546" s="513"/>
      <c r="S546" s="131"/>
      <c r="T546" s="470" t="str">
        <f t="shared" si="632"/>
        <v/>
      </c>
      <c r="U546" s="457"/>
      <c r="V546" s="551"/>
      <c r="W546" s="471">
        <f t="shared" ref="W546:X546" si="658">W545</f>
        <v>21</v>
      </c>
      <c r="X546" s="471" t="e">
        <f t="shared" si="658"/>
        <v>#REF!</v>
      </c>
      <c r="Y546" s="471" t="e">
        <f t="shared" si="634"/>
        <v>#REF!</v>
      </c>
      <c r="Z546" s="471"/>
      <c r="AA546" s="471"/>
      <c r="AB546" s="457"/>
      <c r="AC546" s="457"/>
      <c r="AD546" s="457"/>
      <c r="AE546" s="457"/>
      <c r="AF546" s="457"/>
      <c r="AG546" s="457"/>
      <c r="AH546" s="457"/>
      <c r="AI546" s="457"/>
      <c r="AJ546" s="457"/>
      <c r="AK546" s="457"/>
      <c r="AL546" s="457"/>
      <c r="AM546" s="457"/>
      <c r="AN546" s="457"/>
    </row>
    <row r="547" spans="1:40" s="457" customFormat="1" ht="15.75" customHeight="1" x14ac:dyDescent="0.15">
      <c r="A547" s="470"/>
      <c r="B547" s="514"/>
      <c r="C547" s="630" t="s">
        <v>1435</v>
      </c>
      <c r="D547" s="516"/>
      <c r="E547" s="517"/>
      <c r="F547" s="518"/>
      <c r="G547" s="557"/>
      <c r="H547" s="463" t="str">
        <f t="shared" si="631"/>
        <v>* ((3M*7개)+(3M*8개))/(3M*3M) 기준</v>
      </c>
      <c r="I547" s="520"/>
      <c r="J547" s="521"/>
      <c r="K547" s="522"/>
      <c r="L547" s="521"/>
      <c r="M547" s="522"/>
      <c r="N547" s="521"/>
      <c r="O547" s="522"/>
      <c r="P547" s="523"/>
      <c r="Q547" s="512"/>
      <c r="R547" s="513"/>
      <c r="S547" s="524"/>
      <c r="T547" s="470" t="str">
        <f t="shared" si="632"/>
        <v/>
      </c>
      <c r="U547" s="470"/>
      <c r="V547" s="470"/>
      <c r="W547" s="471">
        <f t="shared" ref="W547:X547" si="659">W546</f>
        <v>21</v>
      </c>
      <c r="X547" s="471" t="e">
        <f t="shared" si="659"/>
        <v>#REF!</v>
      </c>
      <c r="Y547" s="471" t="e">
        <f t="shared" si="634"/>
        <v>#REF!</v>
      </c>
      <c r="Z547" s="471"/>
      <c r="AA547" s="471"/>
      <c r="AB547" s="470"/>
      <c r="AC547" s="470"/>
      <c r="AD547" s="470"/>
      <c r="AE547" s="470"/>
      <c r="AF547" s="470"/>
      <c r="AG547" s="470"/>
      <c r="AH547" s="470"/>
      <c r="AI547" s="470"/>
      <c r="AJ547" s="470"/>
      <c r="AK547" s="470"/>
      <c r="AL547" s="470"/>
      <c r="AM547" s="470"/>
      <c r="AN547" s="470"/>
    </row>
    <row r="548" spans="1:40" s="470" customFormat="1" ht="15.75" customHeight="1" x14ac:dyDescent="0.15">
      <c r="A548" s="457"/>
      <c r="B548" s="457"/>
      <c r="C548" s="458"/>
      <c r="D548" s="459"/>
      <c r="E548" s="460"/>
      <c r="F548" s="461"/>
      <c r="G548" s="553"/>
      <c r="H548" s="463" t="str">
        <f t="shared" ref="H548:H567" si="660">CONCATENATE(C548,E548,F548)</f>
        <v/>
      </c>
      <c r="I548" s="464"/>
      <c r="J548" s="465"/>
      <c r="K548" s="465"/>
      <c r="L548" s="465"/>
      <c r="M548" s="465"/>
      <c r="N548" s="465"/>
      <c r="O548" s="466"/>
      <c r="P548" s="467"/>
      <c r="Q548" s="468"/>
      <c r="R548" s="469"/>
      <c r="S548" s="467"/>
      <c r="T548" s="470" t="str">
        <f t="shared" ref="T548:T555" si="661">CONCATENATE(Q548,R548)</f>
        <v/>
      </c>
      <c r="W548" s="533">
        <f t="shared" ref="W548" si="662">I570</f>
        <v>22</v>
      </c>
      <c r="X548" s="533" t="e">
        <f>#REF!+1</f>
        <v>#REF!</v>
      </c>
      <c r="Y548" s="533" t="e">
        <f t="shared" ref="Y548:Y573" si="663">X548-W548</f>
        <v>#REF!</v>
      </c>
      <c r="Z548" s="533"/>
      <c r="AA548" s="533"/>
    </row>
    <row r="549" spans="1:40" s="470" customFormat="1" ht="15.75" customHeight="1" x14ac:dyDescent="0.15">
      <c r="A549" s="457"/>
      <c r="B549" s="473"/>
      <c r="C549" s="474" t="str">
        <f>"   항목번호 : "&amp;목록!L$28</f>
        <v xml:space="preserve">   항목번호 : 제22호표</v>
      </c>
      <c r="D549" s="475">
        <f>목록!B$28</f>
        <v>22</v>
      </c>
      <c r="E549" s="476"/>
      <c r="F549" s="477"/>
      <c r="G549" s="554"/>
      <c r="H549" s="463" t="str">
        <f t="shared" si="660"/>
        <v xml:space="preserve">   항목번호 : 제22호표</v>
      </c>
      <c r="I549" s="479"/>
      <c r="J549" s="480"/>
      <c r="K549" s="481"/>
      <c r="L549" s="482"/>
      <c r="M549" s="482"/>
      <c r="N549" s="482"/>
      <c r="O549" s="466"/>
      <c r="P549" s="483"/>
      <c r="Q549" s="484"/>
      <c r="R549" s="485"/>
      <c r="S549" s="483"/>
      <c r="T549" s="470" t="str">
        <f t="shared" si="661"/>
        <v/>
      </c>
      <c r="U549" s="457"/>
      <c r="V549" s="551"/>
      <c r="W549" s="471">
        <f t="shared" ref="W549:X549" si="664">W548</f>
        <v>22</v>
      </c>
      <c r="X549" s="471" t="e">
        <f t="shared" si="664"/>
        <v>#REF!</v>
      </c>
      <c r="Y549" s="471" t="e">
        <f t="shared" si="663"/>
        <v>#REF!</v>
      </c>
      <c r="Z549" s="471"/>
      <c r="AA549" s="471"/>
      <c r="AB549" s="457"/>
      <c r="AC549" s="457"/>
      <c r="AD549" s="457"/>
      <c r="AE549" s="457"/>
      <c r="AF549" s="457"/>
      <c r="AG549" s="457"/>
      <c r="AH549" s="457"/>
      <c r="AI549" s="457"/>
      <c r="AJ549" s="457"/>
      <c r="AK549" s="457"/>
      <c r="AL549" s="457"/>
      <c r="AM549" s="457"/>
      <c r="AN549" s="457"/>
    </row>
    <row r="550" spans="1:40" s="457" customFormat="1" ht="15.75" customHeight="1" x14ac:dyDescent="0.15">
      <c r="B550" s="473"/>
      <c r="C550" s="474" t="str">
        <f>"   공      종 : "&amp;목록!D$28</f>
        <v xml:space="preserve">   공      종 : 각파이프구조틀보강</v>
      </c>
      <c r="D550" s="484"/>
      <c r="E550" s="476"/>
      <c r="F550" s="473"/>
      <c r="G550" s="554"/>
      <c r="H550" s="463" t="str">
        <f t="shared" si="660"/>
        <v xml:space="preserve">   공      종 : 각파이프구조틀보강</v>
      </c>
      <c r="I550" s="479"/>
      <c r="J550" s="480"/>
      <c r="K550" s="481"/>
      <c r="L550" s="482"/>
      <c r="M550" s="482"/>
      <c r="N550" s="482"/>
      <c r="O550" s="466"/>
      <c r="P550" s="483"/>
      <c r="Q550" s="484"/>
      <c r="R550" s="485"/>
      <c r="S550" s="483"/>
      <c r="T550" s="470" t="str">
        <f t="shared" si="661"/>
        <v/>
      </c>
      <c r="V550" s="470"/>
      <c r="W550" s="471">
        <f t="shared" ref="W550:X550" si="665">W549</f>
        <v>22</v>
      </c>
      <c r="X550" s="471" t="e">
        <f t="shared" si="665"/>
        <v>#REF!</v>
      </c>
      <c r="Y550" s="471" t="e">
        <f t="shared" si="663"/>
        <v>#REF!</v>
      </c>
      <c r="Z550" s="471"/>
      <c r="AA550" s="471"/>
    </row>
    <row r="551" spans="1:40" s="457" customFormat="1" ht="15.75" customHeight="1" x14ac:dyDescent="0.15">
      <c r="B551" s="473"/>
      <c r="C551" s="474" t="str">
        <f xml:space="preserve"> "   규      격 : "&amp;목록!F$28</f>
        <v xml:space="preserve">   규      격 : 30*30*1.4T(S),@450</v>
      </c>
      <c r="D551" s="484"/>
      <c r="E551" s="476"/>
      <c r="F551" s="473"/>
      <c r="G551" s="554"/>
      <c r="H551" s="463" t="str">
        <f t="shared" si="660"/>
        <v xml:space="preserve">   규      격 : 30*30*1.4T(S),@450</v>
      </c>
      <c r="I551" s="479"/>
      <c r="J551" s="480" t="s">
        <v>348</v>
      </c>
      <c r="K551" s="481"/>
      <c r="L551" s="482" t="s">
        <v>349</v>
      </c>
      <c r="M551" s="482"/>
      <c r="N551" s="482" t="s">
        <v>240</v>
      </c>
      <c r="O551" s="466"/>
      <c r="P551" s="483"/>
      <c r="Q551" s="484" t="s">
        <v>784</v>
      </c>
      <c r="R551" s="484"/>
      <c r="S551" s="483"/>
      <c r="T551" s="470" t="str">
        <f t="shared" si="661"/>
        <v>합계</v>
      </c>
      <c r="V551" s="547"/>
      <c r="W551" s="471">
        <f t="shared" ref="W551:X551" si="666">W550</f>
        <v>22</v>
      </c>
      <c r="X551" s="471" t="e">
        <f t="shared" si="666"/>
        <v>#REF!</v>
      </c>
      <c r="Y551" s="471" t="e">
        <f t="shared" si="663"/>
        <v>#REF!</v>
      </c>
      <c r="Z551" s="471"/>
      <c r="AA551" s="471"/>
    </row>
    <row r="552" spans="1:40" s="457" customFormat="1" ht="15.75" customHeight="1" x14ac:dyDescent="0.15">
      <c r="B552" s="473"/>
      <c r="C552" s="474" t="str">
        <f>"   단      위 : "&amp;목록!G$28</f>
        <v xml:space="preserve">   단      위 : ㎡</v>
      </c>
      <c r="D552" s="484"/>
      <c r="E552" s="476"/>
      <c r="F552" s="473"/>
      <c r="G552" s="554"/>
      <c r="H552" s="463" t="str">
        <f t="shared" si="660"/>
        <v xml:space="preserve">   단      위 : ㎡</v>
      </c>
      <c r="I552" s="479"/>
      <c r="J552" s="486">
        <f>K570</f>
        <v>3068</v>
      </c>
      <c r="K552" s="481"/>
      <c r="L552" s="486">
        <f>M570</f>
        <v>19624</v>
      </c>
      <c r="M552" s="482"/>
      <c r="N552" s="486">
        <f>O570</f>
        <v>3</v>
      </c>
      <c r="O552" s="466"/>
      <c r="P552" s="483"/>
      <c r="Q552" s="488">
        <f>J552+L552+N552</f>
        <v>22695</v>
      </c>
      <c r="R552" s="489"/>
      <c r="S552" s="483"/>
      <c r="T552" s="470" t="str">
        <f t="shared" si="661"/>
        <v>22695</v>
      </c>
      <c r="V552" s="547"/>
      <c r="W552" s="471">
        <f t="shared" ref="W552:X552" si="667">W551</f>
        <v>22</v>
      </c>
      <c r="X552" s="471" t="e">
        <f t="shared" si="667"/>
        <v>#REF!</v>
      </c>
      <c r="Y552" s="471" t="e">
        <f t="shared" si="663"/>
        <v>#REF!</v>
      </c>
      <c r="Z552" s="471"/>
      <c r="AA552" s="471"/>
    </row>
    <row r="553" spans="1:40" s="457" customFormat="1" ht="15.75" customHeight="1" x14ac:dyDescent="0.15">
      <c r="B553" s="473"/>
      <c r="C553" s="474"/>
      <c r="D553" s="484"/>
      <c r="E553" s="476"/>
      <c r="F553" s="473"/>
      <c r="G553" s="555"/>
      <c r="H553" s="463" t="str">
        <f t="shared" si="660"/>
        <v/>
      </c>
      <c r="I553" s="491"/>
      <c r="J553" s="482"/>
      <c r="K553" s="465"/>
      <c r="L553" s="482"/>
      <c r="M553" s="482"/>
      <c r="N553" s="482"/>
      <c r="O553" s="466"/>
      <c r="P553" s="492"/>
      <c r="Q553" s="493"/>
      <c r="R553" s="485"/>
      <c r="S553" s="492"/>
      <c r="T553" s="470" t="str">
        <f t="shared" si="661"/>
        <v/>
      </c>
      <c r="V553" s="547"/>
      <c r="W553" s="471">
        <f t="shared" ref="W553:X553" si="668">W552</f>
        <v>22</v>
      </c>
      <c r="X553" s="471" t="e">
        <f t="shared" si="668"/>
        <v>#REF!</v>
      </c>
      <c r="Y553" s="471" t="e">
        <f t="shared" si="663"/>
        <v>#REF!</v>
      </c>
      <c r="Z553" s="471"/>
      <c r="AA553" s="471"/>
    </row>
    <row r="554" spans="1:40" s="457" customFormat="1" ht="15.75" customHeight="1" x14ac:dyDescent="0.15">
      <c r="B554" s="899" t="s">
        <v>375</v>
      </c>
      <c r="C554" s="900"/>
      <c r="D554" s="915" t="s">
        <v>356</v>
      </c>
      <c r="E554" s="908"/>
      <c r="F554" s="903" t="s">
        <v>782</v>
      </c>
      <c r="G554" s="911" t="s">
        <v>783</v>
      </c>
      <c r="H554" s="463" t="str">
        <f t="shared" si="660"/>
        <v>단위</v>
      </c>
      <c r="I554" s="494"/>
      <c r="J554" s="495" t="s">
        <v>348</v>
      </c>
      <c r="K554" s="496"/>
      <c r="L554" s="495" t="s">
        <v>349</v>
      </c>
      <c r="M554" s="496"/>
      <c r="N554" s="497" t="s">
        <v>240</v>
      </c>
      <c r="O554" s="497"/>
      <c r="P554" s="498"/>
      <c r="Q554" s="744" t="s">
        <v>355</v>
      </c>
      <c r="R554" s="744"/>
      <c r="S554" s="499"/>
      <c r="T554" s="470" t="str">
        <f t="shared" si="661"/>
        <v>비  고</v>
      </c>
      <c r="V554" s="547"/>
      <c r="W554" s="471">
        <f t="shared" ref="W554:X554" si="669">W553</f>
        <v>22</v>
      </c>
      <c r="X554" s="471" t="e">
        <f t="shared" si="669"/>
        <v>#REF!</v>
      </c>
      <c r="Y554" s="471" t="e">
        <f t="shared" si="663"/>
        <v>#REF!</v>
      </c>
      <c r="Z554" s="471"/>
      <c r="AA554" s="471"/>
    </row>
    <row r="555" spans="1:40" s="457" customFormat="1" ht="15.75" customHeight="1" x14ac:dyDescent="0.15">
      <c r="A555" s="547"/>
      <c r="B555" s="901"/>
      <c r="C555" s="902"/>
      <c r="D555" s="916"/>
      <c r="E555" s="910"/>
      <c r="F555" s="904"/>
      <c r="G555" s="912"/>
      <c r="H555" s="463" t="str">
        <f t="shared" si="660"/>
        <v/>
      </c>
      <c r="I555" s="500"/>
      <c r="J555" s="501" t="s">
        <v>353</v>
      </c>
      <c r="K555" s="501" t="s">
        <v>354</v>
      </c>
      <c r="L555" s="501" t="s">
        <v>353</v>
      </c>
      <c r="M555" s="502" t="s">
        <v>354</v>
      </c>
      <c r="N555" s="501" t="s">
        <v>353</v>
      </c>
      <c r="O555" s="501" t="s">
        <v>354</v>
      </c>
      <c r="P555" s="503"/>
      <c r="Q555" s="745"/>
      <c r="R555" s="745"/>
      <c r="S555" s="504"/>
      <c r="T555" s="470" t="str">
        <f t="shared" si="661"/>
        <v/>
      </c>
      <c r="V555" s="547"/>
      <c r="W555" s="471">
        <f t="shared" ref="W555:X555" si="670">W554</f>
        <v>22</v>
      </c>
      <c r="X555" s="471" t="e">
        <f t="shared" si="670"/>
        <v>#REF!</v>
      </c>
      <c r="Y555" s="471" t="e">
        <f t="shared" si="663"/>
        <v>#REF!</v>
      </c>
      <c r="Z555" s="471"/>
      <c r="AA555" s="471"/>
    </row>
    <row r="556" spans="1:40" s="457" customFormat="1" ht="15.75" customHeight="1" x14ac:dyDescent="0.15">
      <c r="A556" s="547"/>
      <c r="B556" s="95"/>
      <c r="C556" s="140" t="s">
        <v>857</v>
      </c>
      <c r="D556" s="95"/>
      <c r="E556" s="141" t="s">
        <v>864</v>
      </c>
      <c r="F556" s="94" t="s">
        <v>771</v>
      </c>
      <c r="G556" s="556">
        <f>TRUNC(((3*4))*0.15/(3.6*2.4),4)</f>
        <v>0.20830000000000001</v>
      </c>
      <c r="H556" s="463" t="str">
        <f t="shared" si="660"/>
        <v>각파이프30*30*1.4T(S)m</v>
      </c>
      <c r="I556" s="451" t="str">
        <f>CONCATENATE(C556,E556,F556)</f>
        <v>각파이프30*30*1.4T(S)m</v>
      </c>
      <c r="J556" s="506">
        <f>VLOOKUP($H556,목록!$A:$K,8,FALSE)</f>
        <v>1821</v>
      </c>
      <c r="K556" s="507">
        <f>IF(J556="","",TRUNC($G556*J556,0))</f>
        <v>379</v>
      </c>
      <c r="L556" s="506">
        <f>VLOOKUP($H556,목록!$A:$K,9,FALSE)</f>
        <v>6798</v>
      </c>
      <c r="M556" s="507">
        <f>IF(L556="","",TRUNC($G556*L556,0))</f>
        <v>1416</v>
      </c>
      <c r="N556" s="506">
        <f>VLOOKUP($H556,목록!$A:$K,10,FALSE)</f>
        <v>15</v>
      </c>
      <c r="O556" s="507">
        <f>IF(N556="","",TRUNC($G556*N556,0))</f>
        <v>3</v>
      </c>
      <c r="P556" s="508"/>
      <c r="Q556" s="509" t="str">
        <f>"제"&amp;VLOOKUP($H:$H,목록!$A:$B,2,FALSE)&amp;"호표"</f>
        <v>제20호표</v>
      </c>
      <c r="R556" s="550"/>
      <c r="S556" s="131"/>
      <c r="T556" s="470" t="str">
        <f t="shared" ref="T556:T573" si="671">CONCATENATE(Q556,R556)</f>
        <v>제20호표</v>
      </c>
      <c r="V556" s="548"/>
      <c r="W556" s="471">
        <f t="shared" ref="W556:X556" si="672">W555</f>
        <v>22</v>
      </c>
      <c r="X556" s="471" t="e">
        <f t="shared" si="672"/>
        <v>#REF!</v>
      </c>
      <c r="Y556" s="471" t="e">
        <f t="shared" si="663"/>
        <v>#REF!</v>
      </c>
      <c r="Z556" s="471"/>
      <c r="AA556" s="471"/>
    </row>
    <row r="557" spans="1:40" s="457" customFormat="1" ht="15.75" customHeight="1" x14ac:dyDescent="0.15">
      <c r="A557" s="470"/>
      <c r="B557" s="95"/>
      <c r="C557" s="140" t="s">
        <v>869</v>
      </c>
      <c r="D557" s="95"/>
      <c r="E557" s="141"/>
      <c r="F557" s="94" t="s">
        <v>870</v>
      </c>
      <c r="G557" s="556">
        <f>TRUNC((3*4)/(3.6*2.4),4)</f>
        <v>1.3888</v>
      </c>
      <c r="H557" s="463" t="str">
        <f t="shared" si="660"/>
        <v>앵커볼트EA</v>
      </c>
      <c r="I557" s="451" t="str">
        <f>CONCATENATE(C557,E557,F557)</f>
        <v>앵커볼트EA</v>
      </c>
      <c r="J557" s="506">
        <f>VLOOKUP($H557,목록!$A:$K,8,FALSE)</f>
        <v>437</v>
      </c>
      <c r="K557" s="507">
        <f>IF(J557="","",TRUNC($G557*J557,0))</f>
        <v>606</v>
      </c>
      <c r="L557" s="506">
        <f>VLOOKUP($H557,목록!$A:$K,9,FALSE)</f>
        <v>13111</v>
      </c>
      <c r="M557" s="507">
        <f>IF(L557="","",TRUNC($G557*L557,0))</f>
        <v>18208</v>
      </c>
      <c r="N557" s="506" t="str">
        <f>VLOOKUP($H557,목록!$A:$K,10,FALSE)</f>
        <v/>
      </c>
      <c r="O557" s="507" t="str">
        <f>IF(N557="","",TRUNC($G557*N557,0))</f>
        <v/>
      </c>
      <c r="P557" s="508"/>
      <c r="Q557" s="509" t="str">
        <f>"제"&amp;VLOOKUP($H:$H,목록!$A:$B,2,FALSE)&amp;"호표"</f>
        <v>제19호표</v>
      </c>
      <c r="R557" s="550"/>
      <c r="S557" s="131"/>
      <c r="T557" s="470" t="str">
        <f t="shared" si="671"/>
        <v>제19호표</v>
      </c>
      <c r="V557" s="548"/>
      <c r="W557" s="471">
        <f t="shared" ref="W557:X557" si="673">W556</f>
        <v>22</v>
      </c>
      <c r="X557" s="471" t="e">
        <f t="shared" si="673"/>
        <v>#REF!</v>
      </c>
      <c r="Y557" s="471" t="e">
        <f t="shared" si="663"/>
        <v>#REF!</v>
      </c>
      <c r="Z557" s="471"/>
      <c r="AA557" s="471"/>
    </row>
    <row r="558" spans="1:40" s="457" customFormat="1" ht="15.75" customHeight="1" x14ac:dyDescent="0.15">
      <c r="A558" s="470"/>
      <c r="B558" s="95"/>
      <c r="C558" s="440" t="s">
        <v>871</v>
      </c>
      <c r="D558" s="95"/>
      <c r="E558" s="206"/>
      <c r="F558" s="94" t="s">
        <v>755</v>
      </c>
      <c r="G558" s="556">
        <f>TRUNC((3*4)/(3.6*2.4),4)</f>
        <v>1.3888</v>
      </c>
      <c r="H558" s="463" t="str">
        <f t="shared" si="660"/>
        <v>각파이프구조틀보강철물EA</v>
      </c>
      <c r="I558" s="451" t="str">
        <f>CONCATENATE(C558,E558,F558)</f>
        <v>각파이프구조틀보강철물EA</v>
      </c>
      <c r="J558" s="506">
        <f>IF(OR($F558="인",$F558=""),"",VLOOKUP($H558,단가!$A:$S,19,FALSE))</f>
        <v>1500</v>
      </c>
      <c r="K558" s="507">
        <f>IF(J558="","",TRUNC($G558*J558,0))</f>
        <v>2083</v>
      </c>
      <c r="L558" s="506" t="str">
        <f>IF($F558="인",VLOOKUP($C:$C,노임!$C:$G,4,FALSE),"")</f>
        <v/>
      </c>
      <c r="M558" s="507" t="str">
        <f>IF(L558="","",TRUNC($G558*L558,0))</f>
        <v/>
      </c>
      <c r="N558" s="507"/>
      <c r="O558" s="507" t="str">
        <f>IF(N558="","",TRUNC($G558*N558,0))</f>
        <v/>
      </c>
      <c r="P558" s="508"/>
      <c r="Q558" s="509" t="str">
        <f>IF(F558="인","노임"&amp;VLOOKUP($C:$C,노임!C:G,5,FALSE)&amp;"번","단가"&amp;VLOOKUP($H:$H,단가!$A:$B,2,FALSE)&amp;"번")</f>
        <v>단가72번</v>
      </c>
      <c r="R558" s="510"/>
      <c r="S558" s="131"/>
      <c r="T558" s="470" t="str">
        <f t="shared" si="671"/>
        <v>단가72번</v>
      </c>
      <c r="U558" s="470"/>
      <c r="V558" s="549"/>
      <c r="W558" s="471">
        <f t="shared" ref="W558:X558" si="674">W557</f>
        <v>22</v>
      </c>
      <c r="X558" s="471" t="e">
        <f t="shared" si="674"/>
        <v>#REF!</v>
      </c>
      <c r="Y558" s="471" t="e">
        <f t="shared" si="663"/>
        <v>#REF!</v>
      </c>
      <c r="Z558" s="471"/>
      <c r="AA558" s="471"/>
      <c r="AB558" s="470"/>
      <c r="AC558" s="470"/>
      <c r="AD558" s="470"/>
      <c r="AE558" s="470"/>
      <c r="AF558" s="470"/>
      <c r="AG558" s="470"/>
      <c r="AH558" s="470"/>
      <c r="AI558" s="470"/>
      <c r="AJ558" s="470"/>
      <c r="AK558" s="470"/>
      <c r="AL558" s="470"/>
      <c r="AM558" s="470"/>
      <c r="AN558" s="470"/>
    </row>
    <row r="559" spans="1:40" s="470" customFormat="1" ht="15.75" customHeight="1" x14ac:dyDescent="0.15">
      <c r="B559" s="95"/>
      <c r="C559" s="140"/>
      <c r="D559" s="95"/>
      <c r="E559" s="141"/>
      <c r="F559" s="94"/>
      <c r="G559" s="556"/>
      <c r="H559" s="463" t="str">
        <f t="shared" si="660"/>
        <v/>
      </c>
      <c r="I559" s="451"/>
      <c r="J559" s="506"/>
      <c r="K559" s="507"/>
      <c r="L559" s="506"/>
      <c r="M559" s="507"/>
      <c r="N559" s="507"/>
      <c r="O559" s="507"/>
      <c r="P559" s="508"/>
      <c r="Q559" s="512"/>
      <c r="R559" s="534"/>
      <c r="S559" s="131"/>
      <c r="T559" s="470" t="str">
        <f t="shared" si="671"/>
        <v/>
      </c>
      <c r="V559" s="549"/>
      <c r="W559" s="471">
        <f t="shared" ref="W559:X559" si="675">W558</f>
        <v>22</v>
      </c>
      <c r="X559" s="471" t="e">
        <f t="shared" si="675"/>
        <v>#REF!</v>
      </c>
      <c r="Y559" s="471" t="e">
        <f t="shared" si="663"/>
        <v>#REF!</v>
      </c>
      <c r="Z559" s="471"/>
      <c r="AA559" s="471"/>
    </row>
    <row r="560" spans="1:40" s="470" customFormat="1" ht="15.75" customHeight="1" x14ac:dyDescent="0.15">
      <c r="B560" s="95"/>
      <c r="C560" s="140"/>
      <c r="D560" s="95"/>
      <c r="E560" s="141"/>
      <c r="F560" s="94"/>
      <c r="G560" s="556"/>
      <c r="H560" s="463" t="str">
        <f t="shared" si="660"/>
        <v/>
      </c>
      <c r="I560" s="451"/>
      <c r="J560" s="506"/>
      <c r="K560" s="507"/>
      <c r="L560" s="506"/>
      <c r="M560" s="507"/>
      <c r="N560" s="507"/>
      <c r="O560" s="507"/>
      <c r="P560" s="508"/>
      <c r="Q560" s="512"/>
      <c r="R560" s="534"/>
      <c r="S560" s="131"/>
      <c r="T560" s="470" t="str">
        <f t="shared" si="671"/>
        <v/>
      </c>
      <c r="V560" s="549"/>
      <c r="W560" s="471">
        <f t="shared" ref="W560:X560" si="676">W559</f>
        <v>22</v>
      </c>
      <c r="X560" s="471" t="e">
        <f t="shared" si="676"/>
        <v>#REF!</v>
      </c>
      <c r="Y560" s="471" t="e">
        <f t="shared" si="663"/>
        <v>#REF!</v>
      </c>
      <c r="Z560" s="471"/>
      <c r="AA560" s="471"/>
    </row>
    <row r="561" spans="1:40" s="470" customFormat="1" ht="15.75" customHeight="1" x14ac:dyDescent="0.15">
      <c r="B561" s="95"/>
      <c r="C561" s="140"/>
      <c r="D561" s="95"/>
      <c r="E561" s="141"/>
      <c r="F561" s="94"/>
      <c r="G561" s="556"/>
      <c r="H561" s="463" t="str">
        <f t="shared" si="660"/>
        <v/>
      </c>
      <c r="I561" s="451"/>
      <c r="J561" s="506"/>
      <c r="K561" s="507"/>
      <c r="L561" s="506"/>
      <c r="M561" s="507"/>
      <c r="N561" s="507"/>
      <c r="O561" s="507"/>
      <c r="P561" s="508"/>
      <c r="Q561" s="512"/>
      <c r="R561" s="534"/>
      <c r="S561" s="131"/>
      <c r="T561" s="470" t="str">
        <f t="shared" si="671"/>
        <v/>
      </c>
      <c r="V561" s="549"/>
      <c r="W561" s="471">
        <f t="shared" ref="W561:X561" si="677">W560</f>
        <v>22</v>
      </c>
      <c r="X561" s="471" t="e">
        <f t="shared" si="677"/>
        <v>#REF!</v>
      </c>
      <c r="Y561" s="471" t="e">
        <f t="shared" si="663"/>
        <v>#REF!</v>
      </c>
      <c r="Z561" s="471"/>
      <c r="AA561" s="471"/>
    </row>
    <row r="562" spans="1:40" s="470" customFormat="1" ht="15.75" customHeight="1" x14ac:dyDescent="0.15">
      <c r="B562" s="95"/>
      <c r="C562" s="140"/>
      <c r="D562" s="95"/>
      <c r="E562" s="141"/>
      <c r="F562" s="94"/>
      <c r="G562" s="556"/>
      <c r="H562" s="463" t="str">
        <f t="shared" si="660"/>
        <v/>
      </c>
      <c r="I562" s="451"/>
      <c r="J562" s="506"/>
      <c r="K562" s="507"/>
      <c r="L562" s="506"/>
      <c r="M562" s="507"/>
      <c r="N562" s="507"/>
      <c r="O562" s="507"/>
      <c r="P562" s="508"/>
      <c r="Q562" s="512"/>
      <c r="R562" s="513"/>
      <c r="S562" s="131"/>
      <c r="T562" s="470" t="str">
        <f t="shared" si="671"/>
        <v/>
      </c>
      <c r="V562" s="549"/>
      <c r="W562" s="471">
        <f t="shared" ref="W562:X562" si="678">W561</f>
        <v>22</v>
      </c>
      <c r="X562" s="471" t="e">
        <f t="shared" si="678"/>
        <v>#REF!</v>
      </c>
      <c r="Y562" s="471" t="e">
        <f t="shared" si="663"/>
        <v>#REF!</v>
      </c>
      <c r="Z562" s="471"/>
      <c r="AA562" s="471"/>
    </row>
    <row r="563" spans="1:40" s="470" customFormat="1" ht="15.75" customHeight="1" x14ac:dyDescent="0.15">
      <c r="B563" s="95"/>
      <c r="C563" s="140"/>
      <c r="D563" s="95"/>
      <c r="E563" s="141"/>
      <c r="F563" s="94"/>
      <c r="G563" s="556"/>
      <c r="H563" s="463" t="str">
        <f t="shared" si="660"/>
        <v/>
      </c>
      <c r="I563" s="451"/>
      <c r="J563" s="506"/>
      <c r="K563" s="507"/>
      <c r="L563" s="506"/>
      <c r="M563" s="507"/>
      <c r="N563" s="507"/>
      <c r="O563" s="507"/>
      <c r="P563" s="508"/>
      <c r="Q563" s="512"/>
      <c r="R563" s="513"/>
      <c r="S563" s="131"/>
      <c r="T563" s="470" t="str">
        <f t="shared" si="671"/>
        <v/>
      </c>
      <c r="V563" s="549"/>
      <c r="W563" s="471">
        <f t="shared" ref="W563:X563" si="679">W562</f>
        <v>22</v>
      </c>
      <c r="X563" s="471" t="e">
        <f t="shared" si="679"/>
        <v>#REF!</v>
      </c>
      <c r="Y563" s="471" t="e">
        <f t="shared" si="663"/>
        <v>#REF!</v>
      </c>
      <c r="Z563" s="471"/>
      <c r="AA563" s="471"/>
    </row>
    <row r="564" spans="1:40" s="470" customFormat="1" ht="15.75" customHeight="1" x14ac:dyDescent="0.15">
      <c r="B564" s="95"/>
      <c r="C564" s="140"/>
      <c r="D564" s="95"/>
      <c r="E564" s="141"/>
      <c r="F564" s="94"/>
      <c r="G564" s="556"/>
      <c r="H564" s="463" t="str">
        <f t="shared" si="660"/>
        <v/>
      </c>
      <c r="I564" s="451"/>
      <c r="J564" s="506"/>
      <c r="K564" s="507"/>
      <c r="L564" s="506"/>
      <c r="M564" s="507"/>
      <c r="N564" s="507"/>
      <c r="O564" s="507"/>
      <c r="P564" s="508"/>
      <c r="Q564" s="512"/>
      <c r="R564" s="513"/>
      <c r="S564" s="131"/>
      <c r="T564" s="470" t="str">
        <f t="shared" si="671"/>
        <v/>
      </c>
      <c r="V564" s="549"/>
      <c r="W564" s="471">
        <f t="shared" ref="W564:X564" si="680">W563</f>
        <v>22</v>
      </c>
      <c r="X564" s="471" t="e">
        <f t="shared" si="680"/>
        <v>#REF!</v>
      </c>
      <c r="Y564" s="471" t="e">
        <f t="shared" si="663"/>
        <v>#REF!</v>
      </c>
      <c r="Z564" s="471"/>
      <c r="AA564" s="471"/>
    </row>
    <row r="565" spans="1:40" s="470" customFormat="1" ht="15.75" customHeight="1" x14ac:dyDescent="0.15">
      <c r="B565" s="95"/>
      <c r="C565" s="140"/>
      <c r="D565" s="95"/>
      <c r="E565" s="141"/>
      <c r="F565" s="94"/>
      <c r="G565" s="556"/>
      <c r="H565" s="463" t="str">
        <f t="shared" si="660"/>
        <v/>
      </c>
      <c r="I565" s="451"/>
      <c r="J565" s="506"/>
      <c r="K565" s="507"/>
      <c r="L565" s="506"/>
      <c r="M565" s="507"/>
      <c r="N565" s="507"/>
      <c r="O565" s="507"/>
      <c r="P565" s="508"/>
      <c r="Q565" s="512"/>
      <c r="R565" s="513"/>
      <c r="S565" s="131"/>
      <c r="T565" s="470" t="str">
        <f t="shared" si="671"/>
        <v/>
      </c>
      <c r="V565" s="549"/>
      <c r="W565" s="471">
        <f t="shared" ref="W565:X565" si="681">W564</f>
        <v>22</v>
      </c>
      <c r="X565" s="471" t="e">
        <f t="shared" si="681"/>
        <v>#REF!</v>
      </c>
      <c r="Y565" s="471" t="e">
        <f t="shared" si="663"/>
        <v>#REF!</v>
      </c>
      <c r="Z565" s="471"/>
      <c r="AA565" s="471"/>
    </row>
    <row r="566" spans="1:40" s="470" customFormat="1" ht="15.75" customHeight="1" x14ac:dyDescent="0.15">
      <c r="B566" s="95"/>
      <c r="C566" s="140"/>
      <c r="D566" s="95"/>
      <c r="E566" s="141"/>
      <c r="F566" s="94"/>
      <c r="G566" s="556"/>
      <c r="H566" s="463" t="str">
        <f t="shared" si="660"/>
        <v/>
      </c>
      <c r="I566" s="451"/>
      <c r="J566" s="506"/>
      <c r="K566" s="507"/>
      <c r="L566" s="506"/>
      <c r="M566" s="507"/>
      <c r="N566" s="507"/>
      <c r="O566" s="507"/>
      <c r="P566" s="508"/>
      <c r="Q566" s="512"/>
      <c r="R566" s="513"/>
      <c r="S566" s="131"/>
      <c r="T566" s="470" t="str">
        <f t="shared" si="671"/>
        <v/>
      </c>
      <c r="V566" s="549"/>
      <c r="W566" s="471">
        <f t="shared" ref="W566:X566" si="682">W565</f>
        <v>22</v>
      </c>
      <c r="X566" s="471" t="e">
        <f t="shared" si="682"/>
        <v>#REF!</v>
      </c>
      <c r="Y566" s="471" t="e">
        <f t="shared" si="663"/>
        <v>#REF!</v>
      </c>
      <c r="Z566" s="471"/>
      <c r="AA566" s="471"/>
    </row>
    <row r="567" spans="1:40" s="470" customFormat="1" ht="15.75" customHeight="1" x14ac:dyDescent="0.15">
      <c r="B567" s="95"/>
      <c r="C567" s="140" t="s">
        <v>872</v>
      </c>
      <c r="D567" s="95"/>
      <c r="E567" s="141"/>
      <c r="F567" s="94"/>
      <c r="G567" s="556"/>
      <c r="H567" s="463" t="str">
        <f t="shared" si="660"/>
        <v>※ ㎡당 산출기준 : 높이 3.6m의 벽체를 2.4m설치하였을 때 평균적 용량(@900간격 기준)</v>
      </c>
      <c r="I567" s="451"/>
      <c r="J567" s="506"/>
      <c r="K567" s="507"/>
      <c r="L567" s="506"/>
      <c r="M567" s="507"/>
      <c r="N567" s="507"/>
      <c r="O567" s="507"/>
      <c r="P567" s="508"/>
      <c r="Q567" s="512"/>
      <c r="R567" s="513"/>
      <c r="S567" s="131"/>
      <c r="T567" s="470" t="str">
        <f t="shared" si="671"/>
        <v/>
      </c>
      <c r="V567" s="549"/>
      <c r="W567" s="471">
        <f t="shared" ref="W567:X567" si="683">W566</f>
        <v>22</v>
      </c>
      <c r="X567" s="471" t="e">
        <f t="shared" si="683"/>
        <v>#REF!</v>
      </c>
      <c r="Y567" s="471" t="e">
        <f t="shared" si="663"/>
        <v>#REF!</v>
      </c>
      <c r="Z567" s="471"/>
      <c r="AA567" s="471"/>
    </row>
    <row r="568" spans="1:40" s="470" customFormat="1" ht="15.75" customHeight="1" x14ac:dyDescent="0.15">
      <c r="B568" s="514"/>
      <c r="C568" s="140" t="s">
        <v>536</v>
      </c>
      <c r="D568" s="516"/>
      <c r="E568" s="517"/>
      <c r="F568" s="518"/>
      <c r="G568" s="557"/>
      <c r="H568" s="463"/>
      <c r="I568" s="520"/>
      <c r="J568" s="521"/>
      <c r="K568" s="522"/>
      <c r="L568" s="521"/>
      <c r="M568" s="522"/>
      <c r="N568" s="521"/>
      <c r="O568" s="522"/>
      <c r="P568" s="523"/>
      <c r="Q568" s="512"/>
      <c r="R568" s="513"/>
      <c r="S568" s="524"/>
      <c r="T568" s="470" t="str">
        <f t="shared" si="671"/>
        <v/>
      </c>
      <c r="V568" s="549"/>
      <c r="W568" s="471">
        <f t="shared" ref="W568:X568" si="684">W567</f>
        <v>22</v>
      </c>
      <c r="X568" s="471" t="e">
        <f t="shared" si="684"/>
        <v>#REF!</v>
      </c>
      <c r="Y568" s="471" t="e">
        <f t="shared" si="663"/>
        <v>#REF!</v>
      </c>
      <c r="Z568" s="471"/>
      <c r="AA568" s="471"/>
    </row>
    <row r="569" spans="1:40" s="470" customFormat="1" ht="15.75" customHeight="1" x14ac:dyDescent="0.15">
      <c r="A569" s="457"/>
      <c r="B569" s="95"/>
      <c r="C569" s="140" t="s">
        <v>535</v>
      </c>
      <c r="D569" s="95"/>
      <c r="E569" s="141"/>
      <c r="F569" s="94"/>
      <c r="G569" s="556"/>
      <c r="H569" s="463" t="str">
        <f t="shared" ref="H569:H573" si="685">CONCATENATE(C569,E569,F569)</f>
        <v>- 앵커볼트 : ((3개*4개))/(3.6M*2.4M)</v>
      </c>
      <c r="I569" s="451"/>
      <c r="J569" s="506"/>
      <c r="K569" s="507"/>
      <c r="L569" s="506"/>
      <c r="M569" s="507"/>
      <c r="N569" s="507"/>
      <c r="O569" s="507"/>
      <c r="P569" s="508"/>
      <c r="Q569" s="512"/>
      <c r="R569" s="513"/>
      <c r="S569" s="131"/>
      <c r="T569" s="470" t="str">
        <f t="shared" si="671"/>
        <v/>
      </c>
      <c r="V569" s="549"/>
      <c r="W569" s="471">
        <f t="shared" ref="W569:X569" si="686">W568</f>
        <v>22</v>
      </c>
      <c r="X569" s="471" t="e">
        <f t="shared" si="686"/>
        <v>#REF!</v>
      </c>
      <c r="Y569" s="471" t="e">
        <f t="shared" si="663"/>
        <v>#REF!</v>
      </c>
      <c r="Z569" s="471"/>
      <c r="AA569" s="471"/>
    </row>
    <row r="570" spans="1:40" s="470" customFormat="1" ht="15.75" customHeight="1" x14ac:dyDescent="0.15">
      <c r="B570" s="514" t="s">
        <v>868</v>
      </c>
      <c r="C570" s="515"/>
      <c r="D570" s="516"/>
      <c r="E570" s="517"/>
      <c r="F570" s="518"/>
      <c r="G570" s="557"/>
      <c r="H570" s="463" t="str">
        <f t="shared" si="685"/>
        <v/>
      </c>
      <c r="I570" s="520">
        <f>목록!$B$28</f>
        <v>22</v>
      </c>
      <c r="J570" s="521"/>
      <c r="K570" s="522">
        <f>SUM(K556:K569)</f>
        <v>3068</v>
      </c>
      <c r="L570" s="521"/>
      <c r="M570" s="522">
        <f>SUM(M556:M569)</f>
        <v>19624</v>
      </c>
      <c r="N570" s="521"/>
      <c r="O570" s="522">
        <f>SUM(O556:O569)</f>
        <v>3</v>
      </c>
      <c r="P570" s="523"/>
      <c r="Q570" s="512"/>
      <c r="R570" s="513"/>
      <c r="S570" s="131"/>
      <c r="T570" s="470" t="str">
        <f t="shared" si="671"/>
        <v/>
      </c>
      <c r="V570" s="549"/>
      <c r="W570" s="471">
        <f t="shared" ref="W570:X570" si="687">W569</f>
        <v>22</v>
      </c>
      <c r="X570" s="471" t="e">
        <f t="shared" si="687"/>
        <v>#REF!</v>
      </c>
      <c r="Y570" s="471" t="e">
        <f t="shared" si="663"/>
        <v>#REF!</v>
      </c>
      <c r="Z570" s="471"/>
      <c r="AA570" s="471"/>
    </row>
    <row r="571" spans="1:40" s="470" customFormat="1" ht="15.75" customHeight="1" x14ac:dyDescent="0.15">
      <c r="B571" s="453"/>
      <c r="C571" s="209" t="s">
        <v>1023</v>
      </c>
      <c r="D571" s="95"/>
      <c r="E571" s="141"/>
      <c r="F571" s="94"/>
      <c r="G571" s="556"/>
      <c r="H571" s="463" t="str">
        <f t="shared" si="685"/>
        <v>※ 건축표준품셈  14-5 잡철물제작설치</v>
      </c>
      <c r="I571" s="451"/>
      <c r="J571" s="506"/>
      <c r="K571" s="507"/>
      <c r="L571" s="506"/>
      <c r="M571" s="507"/>
      <c r="N571" s="507"/>
      <c r="O571" s="507"/>
      <c r="P571" s="508"/>
      <c r="Q571" s="512"/>
      <c r="R571" s="513"/>
      <c r="S571" s="131"/>
      <c r="T571" s="470" t="str">
        <f t="shared" si="671"/>
        <v/>
      </c>
      <c r="V571" s="549"/>
      <c r="W571" s="615">
        <f t="shared" ref="W571:X571" si="688">W570</f>
        <v>22</v>
      </c>
      <c r="X571" s="471" t="e">
        <f t="shared" si="688"/>
        <v>#REF!</v>
      </c>
      <c r="Y571" s="471" t="e">
        <f t="shared" si="663"/>
        <v>#REF!</v>
      </c>
      <c r="Z571" s="471"/>
      <c r="AA571" s="471"/>
    </row>
    <row r="572" spans="1:40" s="470" customFormat="1" ht="15.75" customHeight="1" x14ac:dyDescent="0.15">
      <c r="B572" s="453"/>
      <c r="C572" s="140"/>
      <c r="D572" s="95"/>
      <c r="E572" s="141"/>
      <c r="F572" s="94"/>
      <c r="G572" s="556"/>
      <c r="H572" s="463" t="str">
        <f t="shared" si="685"/>
        <v/>
      </c>
      <c r="I572" s="451"/>
      <c r="J572" s="506"/>
      <c r="K572" s="507"/>
      <c r="L572" s="506"/>
      <c r="M572" s="507"/>
      <c r="N572" s="507"/>
      <c r="O572" s="507"/>
      <c r="P572" s="508"/>
      <c r="Q572" s="512"/>
      <c r="R572" s="513"/>
      <c r="S572" s="131"/>
      <c r="T572" s="470" t="str">
        <f t="shared" si="671"/>
        <v/>
      </c>
      <c r="U572" s="457"/>
      <c r="V572" s="551"/>
      <c r="W572" s="471">
        <f t="shared" ref="W572:X572" si="689">W571</f>
        <v>22</v>
      </c>
      <c r="X572" s="471" t="e">
        <f t="shared" si="689"/>
        <v>#REF!</v>
      </c>
      <c r="Y572" s="471" t="e">
        <f t="shared" si="663"/>
        <v>#REF!</v>
      </c>
      <c r="Z572" s="471"/>
      <c r="AA572" s="471"/>
      <c r="AB572" s="457"/>
      <c r="AC572" s="457"/>
      <c r="AD572" s="457"/>
      <c r="AE572" s="457"/>
      <c r="AF572" s="457"/>
      <c r="AG572" s="457"/>
      <c r="AH572" s="457"/>
      <c r="AI572" s="457"/>
      <c r="AJ572" s="457"/>
      <c r="AK572" s="457"/>
      <c r="AL572" s="457"/>
      <c r="AM572" s="457"/>
      <c r="AN572" s="457"/>
    </row>
    <row r="573" spans="1:40" s="457" customFormat="1" ht="15.75" customHeight="1" x14ac:dyDescent="0.15">
      <c r="A573" s="470"/>
      <c r="B573" s="514"/>
      <c r="C573" s="140"/>
      <c r="D573" s="516"/>
      <c r="E573" s="517"/>
      <c r="F573" s="518"/>
      <c r="G573" s="557"/>
      <c r="H573" s="463" t="str">
        <f t="shared" si="685"/>
        <v/>
      </c>
      <c r="I573" s="520"/>
      <c r="J573" s="521"/>
      <c r="K573" s="522"/>
      <c r="L573" s="521"/>
      <c r="M573" s="522"/>
      <c r="N573" s="521"/>
      <c r="O573" s="522"/>
      <c r="P573" s="523"/>
      <c r="Q573" s="512"/>
      <c r="R573" s="513"/>
      <c r="S573" s="524"/>
      <c r="T573" s="470" t="str">
        <f t="shared" si="671"/>
        <v/>
      </c>
      <c r="U573" s="470"/>
      <c r="V573" s="470"/>
      <c r="W573" s="471">
        <f t="shared" ref="W573:X573" si="690">W572</f>
        <v>22</v>
      </c>
      <c r="X573" s="471" t="e">
        <f t="shared" si="690"/>
        <v>#REF!</v>
      </c>
      <c r="Y573" s="471" t="e">
        <f t="shared" si="663"/>
        <v>#REF!</v>
      </c>
      <c r="Z573" s="471"/>
      <c r="AA573" s="471"/>
      <c r="AB573" s="470"/>
      <c r="AC573" s="470"/>
      <c r="AD573" s="470"/>
      <c r="AE573" s="470"/>
      <c r="AF573" s="470"/>
      <c r="AG573" s="470"/>
      <c r="AH573" s="470"/>
      <c r="AI573" s="470"/>
      <c r="AJ573" s="470"/>
      <c r="AK573" s="470"/>
      <c r="AL573" s="470"/>
      <c r="AM573" s="470"/>
      <c r="AN573" s="470"/>
    </row>
    <row r="574" spans="1:40" s="470" customFormat="1" ht="15.75" customHeight="1" x14ac:dyDescent="0.15">
      <c r="A574" s="457"/>
      <c r="B574" s="457"/>
      <c r="C574" s="458"/>
      <c r="D574" s="459"/>
      <c r="E574" s="460"/>
      <c r="F574" s="461"/>
      <c r="G574" s="553"/>
      <c r="H574" s="463" t="str">
        <f t="shared" ref="H574:H599" si="691">CONCATENATE(C574,E574,F574)</f>
        <v/>
      </c>
      <c r="I574" s="464"/>
      <c r="J574" s="465"/>
      <c r="K574" s="465"/>
      <c r="L574" s="465"/>
      <c r="M574" s="465"/>
      <c r="N574" s="465"/>
      <c r="O574" s="466"/>
      <c r="P574" s="467"/>
      <c r="Q574" s="468"/>
      <c r="R574" s="469"/>
      <c r="S574" s="467"/>
      <c r="T574" s="470" t="str">
        <f t="shared" ref="T574:T599" si="692">CONCATENATE(Q574,R574)</f>
        <v/>
      </c>
      <c r="W574" s="533">
        <f t="shared" ref="W574" si="693">I596</f>
        <v>23</v>
      </c>
      <c r="X574" s="533" t="e">
        <f>#REF!+1</f>
        <v>#REF!</v>
      </c>
      <c r="Y574" s="533" t="e">
        <f t="shared" ref="Y574:Y599" si="694">X574-W574</f>
        <v>#REF!</v>
      </c>
      <c r="Z574" s="533"/>
      <c r="AA574" s="533"/>
    </row>
    <row r="575" spans="1:40" s="470" customFormat="1" ht="15.75" customHeight="1" x14ac:dyDescent="0.15">
      <c r="A575" s="457"/>
      <c r="B575" s="473"/>
      <c r="C575" s="474" t="str">
        <f>"   항목번호 : "&amp;목록!L$29</f>
        <v xml:space="preserve">   항목번호 : 제23호표</v>
      </c>
      <c r="D575" s="475">
        <f>목록!B$29</f>
        <v>23</v>
      </c>
      <c r="E575" s="476"/>
      <c r="F575" s="477"/>
      <c r="G575" s="554"/>
      <c r="H575" s="463" t="str">
        <f t="shared" si="691"/>
        <v xml:space="preserve">   항목번호 : 제23호표</v>
      </c>
      <c r="I575" s="479"/>
      <c r="J575" s="480"/>
      <c r="K575" s="481"/>
      <c r="L575" s="482"/>
      <c r="M575" s="482"/>
      <c r="N575" s="482"/>
      <c r="O575" s="466"/>
      <c r="P575" s="483"/>
      <c r="Q575" s="484"/>
      <c r="R575" s="485"/>
      <c r="S575" s="483"/>
      <c r="T575" s="470" t="str">
        <f t="shared" si="692"/>
        <v/>
      </c>
      <c r="U575" s="457"/>
      <c r="V575" s="551"/>
      <c r="W575" s="471">
        <f t="shared" ref="W575:X575" si="695">W574</f>
        <v>23</v>
      </c>
      <c r="X575" s="471" t="e">
        <f t="shared" si="695"/>
        <v>#REF!</v>
      </c>
      <c r="Y575" s="471" t="e">
        <f t="shared" si="694"/>
        <v>#REF!</v>
      </c>
      <c r="Z575" s="471"/>
      <c r="AA575" s="471"/>
      <c r="AB575" s="457"/>
      <c r="AC575" s="457"/>
      <c r="AD575" s="457"/>
      <c r="AE575" s="457"/>
      <c r="AF575" s="457"/>
      <c r="AG575" s="457"/>
      <c r="AH575" s="457"/>
      <c r="AI575" s="457"/>
      <c r="AJ575" s="457"/>
      <c r="AK575" s="457"/>
      <c r="AL575" s="457"/>
      <c r="AM575" s="457"/>
      <c r="AN575" s="457"/>
    </row>
    <row r="576" spans="1:40" s="457" customFormat="1" ht="15.75" customHeight="1" x14ac:dyDescent="0.15">
      <c r="B576" s="473"/>
      <c r="C576" s="474" t="str">
        <f>"   공      종 : "&amp;목록!D$29</f>
        <v xml:space="preserve">   공      종 : ST'L PLATE</v>
      </c>
      <c r="D576" s="484"/>
      <c r="E576" s="476"/>
      <c r="F576" s="473"/>
      <c r="G576" s="554"/>
      <c r="H576" s="463" t="str">
        <f t="shared" si="691"/>
        <v xml:space="preserve">   공      종 : ST'L PLATE</v>
      </c>
      <c r="I576" s="479"/>
      <c r="J576" s="480"/>
      <c r="K576" s="481"/>
      <c r="L576" s="482"/>
      <c r="M576" s="482"/>
      <c r="N576" s="482"/>
      <c r="O576" s="466"/>
      <c r="P576" s="483"/>
      <c r="Q576" s="484"/>
      <c r="R576" s="485"/>
      <c r="S576" s="483"/>
      <c r="T576" s="470" t="str">
        <f t="shared" si="692"/>
        <v/>
      </c>
      <c r="V576" s="470"/>
      <c r="W576" s="471">
        <f t="shared" ref="W576:X576" si="696">W575</f>
        <v>23</v>
      </c>
      <c r="X576" s="471" t="e">
        <f t="shared" si="696"/>
        <v>#REF!</v>
      </c>
      <c r="Y576" s="471" t="e">
        <f t="shared" si="694"/>
        <v>#REF!</v>
      </c>
      <c r="Z576" s="471"/>
      <c r="AA576" s="471"/>
    </row>
    <row r="577" spans="1:40" s="457" customFormat="1" ht="15.75" customHeight="1" x14ac:dyDescent="0.15">
      <c r="B577" s="473"/>
      <c r="C577" s="474" t="str">
        <f xml:space="preserve"> "   규      격 : "&amp;목록!F$29</f>
        <v xml:space="preserve">   규      격 : GAL-V, THK=1.6mm(S)</v>
      </c>
      <c r="D577" s="484"/>
      <c r="E577" s="476"/>
      <c r="F577" s="473"/>
      <c r="G577" s="554"/>
      <c r="H577" s="463" t="str">
        <f t="shared" si="691"/>
        <v xml:space="preserve">   규      격 : GAL-V, THK=1.6mm(S)</v>
      </c>
      <c r="I577" s="479"/>
      <c r="J577" s="480" t="s">
        <v>348</v>
      </c>
      <c r="K577" s="481"/>
      <c r="L577" s="482" t="s">
        <v>349</v>
      </c>
      <c r="M577" s="482"/>
      <c r="N577" s="482" t="s">
        <v>240</v>
      </c>
      <c r="O577" s="466"/>
      <c r="P577" s="483"/>
      <c r="Q577" s="484" t="s">
        <v>784</v>
      </c>
      <c r="R577" s="484"/>
      <c r="S577" s="483"/>
      <c r="T577" s="470" t="str">
        <f t="shared" si="692"/>
        <v>합계</v>
      </c>
      <c r="V577" s="547"/>
      <c r="W577" s="471">
        <f t="shared" ref="W577:X577" si="697">W576</f>
        <v>23</v>
      </c>
      <c r="X577" s="471" t="e">
        <f t="shared" si="697"/>
        <v>#REF!</v>
      </c>
      <c r="Y577" s="471" t="e">
        <f t="shared" si="694"/>
        <v>#REF!</v>
      </c>
      <c r="Z577" s="471"/>
      <c r="AA577" s="471"/>
    </row>
    <row r="578" spans="1:40" s="457" customFormat="1" ht="15.75" customHeight="1" x14ac:dyDescent="0.15">
      <c r="B578" s="473"/>
      <c r="C578" s="474" t="str">
        <f>"   단      위 : "&amp;목록!G$29</f>
        <v xml:space="preserve">   단      위 : ㎡</v>
      </c>
      <c r="D578" s="484"/>
      <c r="E578" s="476"/>
      <c r="F578" s="473"/>
      <c r="G578" s="554"/>
      <c r="H578" s="463" t="str">
        <f t="shared" si="691"/>
        <v xml:space="preserve">   단      위 : ㎡</v>
      </c>
      <c r="I578" s="479"/>
      <c r="J578" s="486">
        <f>K596</f>
        <v>19165</v>
      </c>
      <c r="K578" s="481"/>
      <c r="L578" s="487">
        <f>M596</f>
        <v>91689</v>
      </c>
      <c r="M578" s="482"/>
      <c r="N578" s="482">
        <f>O596</f>
        <v>207</v>
      </c>
      <c r="O578" s="466"/>
      <c r="P578" s="483"/>
      <c r="Q578" s="488">
        <f>J578+L578+N578</f>
        <v>111061</v>
      </c>
      <c r="R578" s="489"/>
      <c r="S578" s="483"/>
      <c r="T578" s="470" t="str">
        <f t="shared" si="692"/>
        <v>111061</v>
      </c>
      <c r="V578" s="547"/>
      <c r="W578" s="471">
        <f t="shared" ref="W578:X578" si="698">W577</f>
        <v>23</v>
      </c>
      <c r="X578" s="471" t="e">
        <f t="shared" si="698"/>
        <v>#REF!</v>
      </c>
      <c r="Y578" s="471" t="e">
        <f t="shared" si="694"/>
        <v>#REF!</v>
      </c>
      <c r="Z578" s="471"/>
      <c r="AA578" s="471"/>
    </row>
    <row r="579" spans="1:40" s="457" customFormat="1" ht="15.75" customHeight="1" x14ac:dyDescent="0.15">
      <c r="B579" s="473"/>
      <c r="C579" s="474"/>
      <c r="D579" s="484"/>
      <c r="E579" s="476"/>
      <c r="F579" s="473"/>
      <c r="G579" s="555"/>
      <c r="H579" s="463" t="str">
        <f t="shared" si="691"/>
        <v/>
      </c>
      <c r="I579" s="491"/>
      <c r="J579" s="482"/>
      <c r="K579" s="465"/>
      <c r="L579" s="482"/>
      <c r="M579" s="482"/>
      <c r="N579" s="482"/>
      <c r="O579" s="466"/>
      <c r="P579" s="492"/>
      <c r="Q579" s="493"/>
      <c r="R579" s="485"/>
      <c r="S579" s="492"/>
      <c r="T579" s="470" t="str">
        <f t="shared" si="692"/>
        <v/>
      </c>
      <c r="V579" s="547"/>
      <c r="W579" s="471">
        <f t="shared" ref="W579:X579" si="699">W578</f>
        <v>23</v>
      </c>
      <c r="X579" s="471" t="e">
        <f t="shared" si="699"/>
        <v>#REF!</v>
      </c>
      <c r="Y579" s="471" t="e">
        <f t="shared" si="694"/>
        <v>#REF!</v>
      </c>
      <c r="Z579" s="471"/>
      <c r="AA579" s="471"/>
    </row>
    <row r="580" spans="1:40" s="457" customFormat="1" ht="15.75" customHeight="1" x14ac:dyDescent="0.15">
      <c r="B580" s="899" t="s">
        <v>375</v>
      </c>
      <c r="C580" s="900"/>
      <c r="D580" s="907" t="s">
        <v>356</v>
      </c>
      <c r="E580" s="908"/>
      <c r="F580" s="903" t="s">
        <v>785</v>
      </c>
      <c r="G580" s="911" t="s">
        <v>786</v>
      </c>
      <c r="H580" s="463" t="str">
        <f t="shared" si="691"/>
        <v>단위</v>
      </c>
      <c r="I580" s="494"/>
      <c r="J580" s="495" t="s">
        <v>348</v>
      </c>
      <c r="K580" s="496"/>
      <c r="L580" s="495" t="s">
        <v>349</v>
      </c>
      <c r="M580" s="496"/>
      <c r="N580" s="497" t="s">
        <v>240</v>
      </c>
      <c r="O580" s="497"/>
      <c r="P580" s="498"/>
      <c r="Q580" s="744" t="s">
        <v>355</v>
      </c>
      <c r="R580" s="744"/>
      <c r="S580" s="499"/>
      <c r="T580" s="470" t="str">
        <f t="shared" si="692"/>
        <v>비  고</v>
      </c>
      <c r="V580" s="547"/>
      <c r="W580" s="471">
        <f t="shared" ref="W580:X580" si="700">W579</f>
        <v>23</v>
      </c>
      <c r="X580" s="471" t="e">
        <f t="shared" si="700"/>
        <v>#REF!</v>
      </c>
      <c r="Y580" s="471" t="e">
        <f t="shared" si="694"/>
        <v>#REF!</v>
      </c>
      <c r="Z580" s="471"/>
      <c r="AA580" s="471"/>
    </row>
    <row r="581" spans="1:40" s="457" customFormat="1" ht="15.75" customHeight="1" x14ac:dyDescent="0.15">
      <c r="A581" s="547"/>
      <c r="B581" s="901"/>
      <c r="C581" s="902"/>
      <c r="D581" s="909"/>
      <c r="E581" s="910"/>
      <c r="F581" s="904"/>
      <c r="G581" s="912"/>
      <c r="H581" s="463" t="str">
        <f t="shared" si="691"/>
        <v/>
      </c>
      <c r="I581" s="500"/>
      <c r="J581" s="501" t="s">
        <v>353</v>
      </c>
      <c r="K581" s="501" t="s">
        <v>354</v>
      </c>
      <c r="L581" s="501" t="s">
        <v>353</v>
      </c>
      <c r="M581" s="502" t="s">
        <v>354</v>
      </c>
      <c r="N581" s="501" t="s">
        <v>353</v>
      </c>
      <c r="O581" s="501" t="s">
        <v>354</v>
      </c>
      <c r="P581" s="503"/>
      <c r="Q581" s="745"/>
      <c r="R581" s="745"/>
      <c r="S581" s="504"/>
      <c r="T581" s="470" t="str">
        <f t="shared" si="692"/>
        <v/>
      </c>
      <c r="V581" s="547"/>
      <c r="W581" s="471">
        <f t="shared" ref="W581:X581" si="701">W580</f>
        <v>23</v>
      </c>
      <c r="X581" s="471" t="e">
        <f t="shared" si="701"/>
        <v>#REF!</v>
      </c>
      <c r="Y581" s="471" t="e">
        <f t="shared" si="694"/>
        <v>#REF!</v>
      </c>
      <c r="Z581" s="471"/>
      <c r="AA581" s="471"/>
    </row>
    <row r="582" spans="1:40" s="457" customFormat="1" ht="15.75" customHeight="1" x14ac:dyDescent="0.15">
      <c r="A582" s="547"/>
      <c r="B582" s="95"/>
      <c r="C582" s="140" t="s">
        <v>852</v>
      </c>
      <c r="D582" s="95"/>
      <c r="E582" s="141" t="s">
        <v>873</v>
      </c>
      <c r="F582" s="94" t="s">
        <v>800</v>
      </c>
      <c r="G582" s="556">
        <f>TRUNC(G583*1.1,4)</f>
        <v>14.035299999999999</v>
      </c>
      <c r="H582" s="463" t="str">
        <f t="shared" si="691"/>
        <v>ST'L PLATEGAL-V, THK=1.6mmKg</v>
      </c>
      <c r="I582" s="451" t="str">
        <f>CONCATENATE(C582,E582,F582)</f>
        <v>ST'L PLATEGAL-V, THK=1.6mmKg</v>
      </c>
      <c r="J582" s="506">
        <f>IF(OR($F582="인",$F582=""),"",VLOOKUP($H582,단가!$A:$S,19,FALSE))</f>
        <v>914</v>
      </c>
      <c r="K582" s="507">
        <f>IF(J582="","",TRUNC($G582*J582,0))</f>
        <v>12828</v>
      </c>
      <c r="L582" s="506" t="str">
        <f>IF($F582="인",VLOOKUP($C:$C,노임!$C:$G,4,FALSE),"")</f>
        <v/>
      </c>
      <c r="M582" s="507" t="str">
        <f>IF(L582="","",TRUNC($G582*L582,0))</f>
        <v/>
      </c>
      <c r="N582" s="507"/>
      <c r="O582" s="507" t="str">
        <f>IF(N582="","",TRUNC($G582*N582,0))</f>
        <v/>
      </c>
      <c r="P582" s="508"/>
      <c r="Q582" s="509" t="str">
        <f>IF(F582="인","노임"&amp;VLOOKUP($C:$C,노임!C:G,5,FALSE)&amp;"번","단가"&amp;VLOOKUP($H:$H,단가!$A:$B,2,FALSE)&amp;"번")</f>
        <v>단가1번</v>
      </c>
      <c r="R582" s="510"/>
      <c r="S582" s="131"/>
      <c r="T582" s="470" t="str">
        <f t="shared" si="692"/>
        <v>단가1번</v>
      </c>
      <c r="V582" s="548"/>
      <c r="W582" s="471">
        <f t="shared" ref="W582:X582" si="702">W581</f>
        <v>23</v>
      </c>
      <c r="X582" s="471" t="e">
        <f t="shared" si="702"/>
        <v>#REF!</v>
      </c>
      <c r="Y582" s="471" t="e">
        <f t="shared" si="694"/>
        <v>#REF!</v>
      </c>
      <c r="Z582" s="471"/>
      <c r="AA582" s="471"/>
    </row>
    <row r="583" spans="1:40" s="457" customFormat="1" ht="15.75" customHeight="1" x14ac:dyDescent="0.15">
      <c r="A583" s="470"/>
      <c r="B583" s="95"/>
      <c r="C583" s="440" t="s">
        <v>874</v>
      </c>
      <c r="D583" s="95"/>
      <c r="E583" s="141" t="s">
        <v>860</v>
      </c>
      <c r="F583" s="94" t="s">
        <v>861</v>
      </c>
      <c r="G583" s="556">
        <f>TRUNC((21.33/(0.914*1.829)),4)</f>
        <v>12.759399999999999</v>
      </c>
      <c r="H583" s="463" t="str">
        <f t="shared" si="691"/>
        <v>잡철물제작설치(강판)보통기준Kg</v>
      </c>
      <c r="I583" s="451" t="str">
        <f>CONCATENATE(C583,E583,F583)</f>
        <v>잡철물제작설치(강판)보통기준Kg</v>
      </c>
      <c r="J583" s="506">
        <f>VLOOKUP($H583,목록!$A:$K,8,FALSE)</f>
        <v>273</v>
      </c>
      <c r="K583" s="507">
        <f>IF(J583="","",TRUNC($G583*J583,0))</f>
        <v>3483</v>
      </c>
      <c r="L583" s="506">
        <f>VLOOKUP($H583,목록!$A:$K,9,FALSE)</f>
        <v>5648</v>
      </c>
      <c r="M583" s="507">
        <f>IF(L583="","",TRUNC($G583*L583,0))</f>
        <v>72065</v>
      </c>
      <c r="N583" s="506">
        <f>VLOOKUP($H583,목록!$A:$K,10,FALSE)</f>
        <v>16</v>
      </c>
      <c r="O583" s="507">
        <f>IF(N583="","",TRUNC($G583*N583,0))</f>
        <v>204</v>
      </c>
      <c r="P583" s="508"/>
      <c r="Q583" s="509" t="str">
        <f>"제"&amp;VLOOKUP($H:$H,목록!$A:$B,2,FALSE)&amp;"호표"</f>
        <v>제18호표</v>
      </c>
      <c r="R583" s="550"/>
      <c r="S583" s="131"/>
      <c r="T583" s="470" t="str">
        <f t="shared" si="692"/>
        <v>제18호표</v>
      </c>
      <c r="V583" s="548"/>
      <c r="W583" s="471">
        <f t="shared" ref="W583:X583" si="703">W582</f>
        <v>23</v>
      </c>
      <c r="X583" s="471" t="e">
        <f t="shared" si="703"/>
        <v>#REF!</v>
      </c>
      <c r="Y583" s="471" t="e">
        <f t="shared" si="694"/>
        <v>#REF!</v>
      </c>
      <c r="Z583" s="471"/>
      <c r="AA583" s="471"/>
    </row>
    <row r="584" spans="1:40" s="457" customFormat="1" ht="15.75" customHeight="1" x14ac:dyDescent="0.15">
      <c r="A584" s="470"/>
      <c r="B584" s="95"/>
      <c r="C584" s="98" t="s">
        <v>875</v>
      </c>
      <c r="D584" s="99"/>
      <c r="E584" s="98" t="s">
        <v>876</v>
      </c>
      <c r="F584" s="96" t="s">
        <v>768</v>
      </c>
      <c r="G584" s="556">
        <f>TRUNC(1,5)</f>
        <v>1</v>
      </c>
      <c r="H584" s="463" t="str">
        <f t="shared" si="691"/>
        <v>각파이프구조틀보강30*30*1.4T(S),@450㎡</v>
      </c>
      <c r="I584" s="451" t="str">
        <f>CONCATENATE(C584,E584,F584)</f>
        <v>각파이프구조틀보강30*30*1.4T(S),@450㎡</v>
      </c>
      <c r="J584" s="506">
        <f>VLOOKUP($H584,목록!$A:$K,8,FALSE)</f>
        <v>3068</v>
      </c>
      <c r="K584" s="507">
        <f>IF(J584="","",TRUNC($G584*J584,0))</f>
        <v>3068</v>
      </c>
      <c r="L584" s="506">
        <f>VLOOKUP($H584,목록!$A:$K,9,FALSE)</f>
        <v>19624</v>
      </c>
      <c r="M584" s="507">
        <f>IF(L584="","",TRUNC($G584*L584,0))</f>
        <v>19624</v>
      </c>
      <c r="N584" s="506">
        <f>VLOOKUP($H584,목록!$A:$K,10,FALSE)</f>
        <v>3</v>
      </c>
      <c r="O584" s="507">
        <f>IF(N584="","",TRUNC($G584*N584,0))</f>
        <v>3</v>
      </c>
      <c r="P584" s="508"/>
      <c r="Q584" s="509" t="str">
        <f>"제"&amp;VLOOKUP($H:$H,목록!$A:$B,2,FALSE)&amp;"호표"</f>
        <v>제22호표</v>
      </c>
      <c r="R584" s="550"/>
      <c r="S584" s="131"/>
      <c r="T584" s="470" t="str">
        <f t="shared" si="692"/>
        <v>제22호표</v>
      </c>
      <c r="U584" s="470"/>
      <c r="V584" s="549"/>
      <c r="W584" s="471">
        <f t="shared" ref="W584:X584" si="704">W583</f>
        <v>23</v>
      </c>
      <c r="X584" s="471" t="e">
        <f t="shared" si="704"/>
        <v>#REF!</v>
      </c>
      <c r="Y584" s="471" t="e">
        <f t="shared" si="694"/>
        <v>#REF!</v>
      </c>
      <c r="Z584" s="471"/>
      <c r="AA584" s="471"/>
      <c r="AB584" s="470"/>
      <c r="AC584" s="470"/>
      <c r="AD584" s="470"/>
      <c r="AE584" s="470"/>
      <c r="AF584" s="470"/>
      <c r="AG584" s="470"/>
      <c r="AH584" s="470"/>
      <c r="AI584" s="470"/>
      <c r="AJ584" s="470"/>
      <c r="AK584" s="470"/>
      <c r="AL584" s="470"/>
      <c r="AM584" s="470"/>
      <c r="AN584" s="470"/>
    </row>
    <row r="585" spans="1:40" s="470" customFormat="1" ht="15.75" customHeight="1" x14ac:dyDescent="0.15">
      <c r="B585" s="95"/>
      <c r="C585" s="140" t="s">
        <v>526</v>
      </c>
      <c r="D585" s="95"/>
      <c r="E585" s="141" t="s">
        <v>527</v>
      </c>
      <c r="F585" s="94" t="s">
        <v>357</v>
      </c>
      <c r="G585" s="556">
        <f>TRUNC((G582-G583)*70%,4)</f>
        <v>0.8931</v>
      </c>
      <c r="H585" s="463" t="str">
        <f t="shared" si="691"/>
        <v>철강설철강설, 고철, 작업설부산물Kg</v>
      </c>
      <c r="I585" s="451" t="str">
        <f>CONCATENATE(C585,E585,F585)</f>
        <v>철강설철강설, 고철, 작업설부산물Kg</v>
      </c>
      <c r="J585" s="506">
        <f>IF(OR($F585="인",$F585=""),"",VLOOKUP($H585,단가!$A:$S,19,FALSE))</f>
        <v>-240</v>
      </c>
      <c r="K585" s="507">
        <f>IF(J585="","",TRUNC($G585*J585,0))</f>
        <v>-214</v>
      </c>
      <c r="L585" s="506" t="str">
        <f>IF($F585="인",VLOOKUP($C:$C,노임!$C:$G,4,FALSE),"")</f>
        <v/>
      </c>
      <c r="M585" s="507" t="str">
        <f>IF(L585="","",TRUNC($G585*L585,0))</f>
        <v/>
      </c>
      <c r="N585" s="507"/>
      <c r="O585" s="507" t="str">
        <f>IF(N585="","",TRUNC($G585*N585,0))</f>
        <v/>
      </c>
      <c r="P585" s="508"/>
      <c r="Q585" s="509" t="str">
        <f>IF(F585="인","노임"&amp;VLOOKUP($C:$C,노임!C:G,5,FALSE)&amp;"번","단가"&amp;VLOOKUP($H:$H,단가!$A:$B,2,FALSE)&amp;"번")</f>
        <v>단가62번</v>
      </c>
      <c r="R585" s="510"/>
      <c r="S585" s="131"/>
      <c r="T585" s="470" t="str">
        <f t="shared" si="692"/>
        <v>단가62번</v>
      </c>
      <c r="V585" s="549"/>
      <c r="W585" s="471">
        <f t="shared" ref="W585:X585" si="705">W584</f>
        <v>23</v>
      </c>
      <c r="X585" s="471" t="e">
        <f t="shared" si="705"/>
        <v>#REF!</v>
      </c>
      <c r="Y585" s="471" t="e">
        <f t="shared" si="694"/>
        <v>#REF!</v>
      </c>
      <c r="Z585" s="471"/>
      <c r="AA585" s="471"/>
    </row>
    <row r="586" spans="1:40" s="470" customFormat="1" ht="15.75" customHeight="1" x14ac:dyDescent="0.15">
      <c r="B586" s="95"/>
      <c r="C586" s="140"/>
      <c r="D586" s="95"/>
      <c r="E586" s="141"/>
      <c r="F586" s="94"/>
      <c r="G586" s="556"/>
      <c r="H586" s="463" t="str">
        <f t="shared" si="691"/>
        <v/>
      </c>
      <c r="I586" s="451"/>
      <c r="J586" s="506"/>
      <c r="K586" s="507"/>
      <c r="L586" s="506"/>
      <c r="M586" s="507"/>
      <c r="N586" s="507"/>
      <c r="O586" s="507"/>
      <c r="P586" s="508"/>
      <c r="Q586" s="512"/>
      <c r="R586" s="534"/>
      <c r="S586" s="131"/>
      <c r="T586" s="470" t="str">
        <f t="shared" si="692"/>
        <v/>
      </c>
      <c r="V586" s="549"/>
      <c r="W586" s="471">
        <f t="shared" ref="W586:X586" si="706">W585</f>
        <v>23</v>
      </c>
      <c r="X586" s="471" t="e">
        <f t="shared" si="706"/>
        <v>#REF!</v>
      </c>
      <c r="Y586" s="471" t="e">
        <f t="shared" si="694"/>
        <v>#REF!</v>
      </c>
      <c r="Z586" s="471"/>
      <c r="AA586" s="471"/>
    </row>
    <row r="587" spans="1:40" s="470" customFormat="1" ht="15.75" customHeight="1" x14ac:dyDescent="0.15">
      <c r="B587" s="95"/>
      <c r="C587" s="140"/>
      <c r="D587" s="95"/>
      <c r="E587" s="141"/>
      <c r="F587" s="94"/>
      <c r="G587" s="556"/>
      <c r="H587" s="463" t="str">
        <f t="shared" si="691"/>
        <v/>
      </c>
      <c r="I587" s="451"/>
      <c r="J587" s="506"/>
      <c r="K587" s="507"/>
      <c r="L587" s="506"/>
      <c r="M587" s="507"/>
      <c r="N587" s="507"/>
      <c r="O587" s="507"/>
      <c r="P587" s="508"/>
      <c r="Q587" s="512"/>
      <c r="R587" s="534"/>
      <c r="S587" s="131"/>
      <c r="T587" s="470" t="str">
        <f t="shared" si="692"/>
        <v/>
      </c>
      <c r="V587" s="549"/>
      <c r="W587" s="471">
        <f t="shared" ref="W587:X587" si="707">W586</f>
        <v>23</v>
      </c>
      <c r="X587" s="471" t="e">
        <f t="shared" si="707"/>
        <v>#REF!</v>
      </c>
      <c r="Y587" s="471" t="e">
        <f t="shared" si="694"/>
        <v>#REF!</v>
      </c>
      <c r="Z587" s="471"/>
      <c r="AA587" s="471"/>
    </row>
    <row r="588" spans="1:40" s="470" customFormat="1" ht="15.75" customHeight="1" x14ac:dyDescent="0.15">
      <c r="B588" s="95"/>
      <c r="C588" s="140"/>
      <c r="D588" s="95"/>
      <c r="E588" s="141"/>
      <c r="F588" s="94"/>
      <c r="G588" s="556"/>
      <c r="H588" s="463" t="str">
        <f t="shared" si="691"/>
        <v/>
      </c>
      <c r="I588" s="451"/>
      <c r="J588" s="506"/>
      <c r="K588" s="507"/>
      <c r="L588" s="506"/>
      <c r="M588" s="507"/>
      <c r="N588" s="507"/>
      <c r="O588" s="507"/>
      <c r="P588" s="508"/>
      <c r="Q588" s="512"/>
      <c r="R588" s="513"/>
      <c r="S588" s="131"/>
      <c r="T588" s="470" t="str">
        <f t="shared" si="692"/>
        <v/>
      </c>
      <c r="V588" s="549"/>
      <c r="W588" s="471">
        <f t="shared" ref="W588:X588" si="708">W587</f>
        <v>23</v>
      </c>
      <c r="X588" s="471" t="e">
        <f t="shared" si="708"/>
        <v>#REF!</v>
      </c>
      <c r="Y588" s="471" t="e">
        <f t="shared" si="694"/>
        <v>#REF!</v>
      </c>
      <c r="Z588" s="471"/>
      <c r="AA588" s="471"/>
    </row>
    <row r="589" spans="1:40" s="470" customFormat="1" ht="15.75" customHeight="1" x14ac:dyDescent="0.15">
      <c r="B589" s="95"/>
      <c r="C589" s="140"/>
      <c r="D589" s="95"/>
      <c r="E589" s="141"/>
      <c r="F589" s="94"/>
      <c r="G589" s="556"/>
      <c r="H589" s="463" t="str">
        <f t="shared" si="691"/>
        <v/>
      </c>
      <c r="I589" s="451"/>
      <c r="J589" s="506"/>
      <c r="K589" s="507"/>
      <c r="L589" s="506"/>
      <c r="M589" s="507"/>
      <c r="N589" s="507"/>
      <c r="O589" s="507"/>
      <c r="P589" s="508"/>
      <c r="Q589" s="512"/>
      <c r="R589" s="534"/>
      <c r="S589" s="131"/>
      <c r="T589" s="470" t="str">
        <f t="shared" si="692"/>
        <v/>
      </c>
      <c r="V589" s="549"/>
      <c r="W589" s="471">
        <f t="shared" ref="W589:X589" si="709">W588</f>
        <v>23</v>
      </c>
      <c r="X589" s="471" t="e">
        <f t="shared" si="709"/>
        <v>#REF!</v>
      </c>
      <c r="Y589" s="471" t="e">
        <f t="shared" si="694"/>
        <v>#REF!</v>
      </c>
      <c r="Z589" s="471"/>
      <c r="AA589" s="471"/>
    </row>
    <row r="590" spans="1:40" s="470" customFormat="1" ht="15.75" customHeight="1" x14ac:dyDescent="0.15">
      <c r="B590" s="95"/>
      <c r="C590" s="140"/>
      <c r="D590" s="95"/>
      <c r="E590" s="141"/>
      <c r="F590" s="94"/>
      <c r="G590" s="556"/>
      <c r="H590" s="463" t="str">
        <f t="shared" si="691"/>
        <v/>
      </c>
      <c r="I590" s="451"/>
      <c r="J590" s="506"/>
      <c r="K590" s="507"/>
      <c r="L590" s="506"/>
      <c r="M590" s="507"/>
      <c r="N590" s="507"/>
      <c r="O590" s="507"/>
      <c r="P590" s="508"/>
      <c r="Q590" s="512"/>
      <c r="R590" s="534"/>
      <c r="S590" s="131"/>
      <c r="T590" s="470" t="str">
        <f t="shared" si="692"/>
        <v/>
      </c>
      <c r="V590" s="549"/>
      <c r="W590" s="471">
        <f t="shared" ref="W590:X590" si="710">W589</f>
        <v>23</v>
      </c>
      <c r="X590" s="471" t="e">
        <f t="shared" si="710"/>
        <v>#REF!</v>
      </c>
      <c r="Y590" s="471" t="e">
        <f t="shared" si="694"/>
        <v>#REF!</v>
      </c>
      <c r="Z590" s="471"/>
      <c r="AA590" s="471"/>
    </row>
    <row r="591" spans="1:40" s="470" customFormat="1" ht="15.75" customHeight="1" x14ac:dyDescent="0.15">
      <c r="B591" s="95"/>
      <c r="C591" s="140" t="s">
        <v>534</v>
      </c>
      <c r="D591" s="95"/>
      <c r="E591" s="141"/>
      <c r="F591" s="94"/>
      <c r="G591" s="556"/>
      <c r="H591" s="463" t="str">
        <f t="shared" si="691"/>
        <v>* 물가정보 갈바스틸(4'*8') 참고</v>
      </c>
      <c r="I591" s="451"/>
      <c r="J591" s="506"/>
      <c r="K591" s="507"/>
      <c r="L591" s="506"/>
      <c r="M591" s="507"/>
      <c r="N591" s="507"/>
      <c r="O591" s="507"/>
      <c r="P591" s="508"/>
      <c r="Q591" s="512"/>
      <c r="R591" s="534"/>
      <c r="S591" s="131"/>
      <c r="T591" s="470" t="str">
        <f t="shared" si="692"/>
        <v/>
      </c>
      <c r="V591" s="549"/>
      <c r="W591" s="471">
        <f t="shared" ref="W591:X591" si="711">W590</f>
        <v>23</v>
      </c>
      <c r="X591" s="471" t="e">
        <f t="shared" si="711"/>
        <v>#REF!</v>
      </c>
      <c r="Y591" s="471" t="e">
        <f t="shared" si="694"/>
        <v>#REF!</v>
      </c>
      <c r="Z591" s="471"/>
      <c r="AA591" s="471"/>
    </row>
    <row r="592" spans="1:40" s="470" customFormat="1" ht="15.75" customHeight="1" x14ac:dyDescent="0.15">
      <c r="B592" s="95"/>
      <c r="C592" s="562" t="s">
        <v>877</v>
      </c>
      <c r="D592" s="95"/>
      <c r="E592" s="141"/>
      <c r="F592" s="94"/>
      <c r="G592" s="556"/>
      <c r="H592" s="463" t="str">
        <f t="shared" si="691"/>
        <v>- 갈바강판 규격 : 0.914*1.829(3'*6')=1.6717㎡</v>
      </c>
      <c r="I592" s="451"/>
      <c r="J592" s="506"/>
      <c r="K592" s="507"/>
      <c r="L592" s="506"/>
      <c r="M592" s="507"/>
      <c r="N592" s="507"/>
      <c r="O592" s="507"/>
      <c r="P592" s="508"/>
      <c r="Q592" s="512"/>
      <c r="R592" s="534"/>
      <c r="S592" s="131"/>
      <c r="T592" s="470" t="str">
        <f t="shared" si="692"/>
        <v/>
      </c>
      <c r="V592" s="549"/>
      <c r="W592" s="471">
        <f t="shared" ref="W592:X592" si="712">W591</f>
        <v>23</v>
      </c>
      <c r="X592" s="471" t="e">
        <f t="shared" si="712"/>
        <v>#REF!</v>
      </c>
      <c r="Y592" s="471" t="e">
        <f t="shared" si="694"/>
        <v>#REF!</v>
      </c>
      <c r="Z592" s="471"/>
      <c r="AA592" s="471"/>
    </row>
    <row r="593" spans="1:40" s="470" customFormat="1" ht="15.75" customHeight="1" x14ac:dyDescent="0.15">
      <c r="B593" s="95"/>
      <c r="C593" s="562" t="s">
        <v>878</v>
      </c>
      <c r="D593" s="95"/>
      <c r="E593" s="141"/>
      <c r="F593" s="94"/>
      <c r="G593" s="556"/>
      <c r="H593" s="463" t="str">
        <f t="shared" si="691"/>
        <v>- 갈바강판 1.6mm(3'*6') 단위중량 : 21.33kg</v>
      </c>
      <c r="I593" s="451"/>
      <c r="J593" s="506"/>
      <c r="K593" s="507"/>
      <c r="L593" s="506"/>
      <c r="M593" s="507"/>
      <c r="N593" s="507"/>
      <c r="O593" s="507"/>
      <c r="P593" s="508"/>
      <c r="Q593" s="512"/>
      <c r="R593" s="534"/>
      <c r="S593" s="131"/>
      <c r="T593" s="470" t="str">
        <f t="shared" si="692"/>
        <v/>
      </c>
      <c r="V593" s="549"/>
      <c r="W593" s="471">
        <f t="shared" ref="W593:X593" si="713">W592</f>
        <v>23</v>
      </c>
      <c r="X593" s="471" t="e">
        <f t="shared" si="713"/>
        <v>#REF!</v>
      </c>
      <c r="Y593" s="471" t="e">
        <f t="shared" si="694"/>
        <v>#REF!</v>
      </c>
      <c r="Z593" s="471"/>
      <c r="AA593" s="471"/>
    </row>
    <row r="594" spans="1:40" s="470" customFormat="1" ht="15.75" customHeight="1" x14ac:dyDescent="0.15">
      <c r="B594" s="95"/>
      <c r="C594" s="562" t="s">
        <v>879</v>
      </c>
      <c r="D594" s="95"/>
      <c r="E594" s="141"/>
      <c r="F594" s="94"/>
      <c r="G594" s="556"/>
      <c r="H594" s="463" t="str">
        <f t="shared" si="691"/>
        <v>- 갈바강판 1㎡ 단위중량 = 21.33/1.6717 = 12.7594kg</v>
      </c>
      <c r="I594" s="451"/>
      <c r="J594" s="506"/>
      <c r="K594" s="507"/>
      <c r="L594" s="506"/>
      <c r="M594" s="507"/>
      <c r="N594" s="507"/>
      <c r="O594" s="507"/>
      <c r="P594" s="508"/>
      <c r="Q594" s="512"/>
      <c r="R594" s="513"/>
      <c r="S594" s="131"/>
      <c r="T594" s="470" t="str">
        <f t="shared" si="692"/>
        <v/>
      </c>
      <c r="V594" s="549"/>
      <c r="W594" s="471">
        <f t="shared" ref="W594:X594" si="714">W593</f>
        <v>23</v>
      </c>
      <c r="X594" s="471" t="e">
        <f t="shared" si="714"/>
        <v>#REF!</v>
      </c>
      <c r="Y594" s="471" t="e">
        <f t="shared" si="694"/>
        <v>#REF!</v>
      </c>
      <c r="Z594" s="471"/>
      <c r="AA594" s="471"/>
    </row>
    <row r="595" spans="1:40" s="470" customFormat="1" ht="15.75" customHeight="1" x14ac:dyDescent="0.15">
      <c r="B595" s="95"/>
      <c r="C595" s="140"/>
      <c r="D595" s="95"/>
      <c r="E595" s="141"/>
      <c r="F595" s="94"/>
      <c r="G595" s="556"/>
      <c r="H595" s="463" t="str">
        <f t="shared" si="691"/>
        <v/>
      </c>
      <c r="I595" s="451"/>
      <c r="J595" s="506"/>
      <c r="K595" s="507"/>
      <c r="L595" s="506"/>
      <c r="M595" s="507"/>
      <c r="N595" s="507"/>
      <c r="O595" s="507"/>
      <c r="P595" s="508"/>
      <c r="Q595" s="512"/>
      <c r="R595" s="513"/>
      <c r="S595" s="131"/>
      <c r="T595" s="470" t="str">
        <f t="shared" si="692"/>
        <v/>
      </c>
      <c r="V595" s="549"/>
      <c r="W595" s="471">
        <f t="shared" ref="W595:X595" si="715">W594</f>
        <v>23</v>
      </c>
      <c r="X595" s="471" t="e">
        <f t="shared" si="715"/>
        <v>#REF!</v>
      </c>
      <c r="Y595" s="471" t="e">
        <f t="shared" si="694"/>
        <v>#REF!</v>
      </c>
      <c r="Z595" s="471"/>
      <c r="AA595" s="471"/>
    </row>
    <row r="596" spans="1:40" s="470" customFormat="1" ht="15.75" customHeight="1" x14ac:dyDescent="0.15">
      <c r="B596" s="514" t="s">
        <v>813</v>
      </c>
      <c r="C596" s="515"/>
      <c r="D596" s="516"/>
      <c r="E596" s="517"/>
      <c r="F596" s="518"/>
      <c r="G596" s="557"/>
      <c r="H596" s="463" t="str">
        <f t="shared" si="691"/>
        <v/>
      </c>
      <c r="I596" s="520">
        <f>목록!$B$29</f>
        <v>23</v>
      </c>
      <c r="J596" s="521"/>
      <c r="K596" s="522">
        <f>SUM(K582:K595)</f>
        <v>19165</v>
      </c>
      <c r="L596" s="521"/>
      <c r="M596" s="522">
        <f>SUM(M582:M595)</f>
        <v>91689</v>
      </c>
      <c r="N596" s="521"/>
      <c r="O596" s="522">
        <f>SUM(O582:O595)</f>
        <v>207</v>
      </c>
      <c r="P596" s="523"/>
      <c r="Q596" s="512"/>
      <c r="R596" s="513"/>
      <c r="S596" s="524"/>
      <c r="T596" s="470" t="str">
        <f t="shared" si="692"/>
        <v/>
      </c>
      <c r="V596" s="549"/>
      <c r="W596" s="471">
        <f t="shared" ref="W596:X596" si="716">W595</f>
        <v>23</v>
      </c>
      <c r="X596" s="471" t="e">
        <f t="shared" si="716"/>
        <v>#REF!</v>
      </c>
      <c r="Y596" s="471" t="e">
        <f t="shared" si="694"/>
        <v>#REF!</v>
      </c>
      <c r="Z596" s="471"/>
      <c r="AA596" s="471"/>
    </row>
    <row r="597" spans="1:40" s="470" customFormat="1" ht="15.75" customHeight="1" x14ac:dyDescent="0.15">
      <c r="A597" s="457"/>
      <c r="B597" s="453"/>
      <c r="C597" s="209" t="s">
        <v>1023</v>
      </c>
      <c r="D597" s="95"/>
      <c r="E597" s="141"/>
      <c r="F597" s="94"/>
      <c r="G597" s="556"/>
      <c r="H597" s="463" t="str">
        <f t="shared" si="691"/>
        <v>※ 건축표준품셈  14-5 잡철물제작설치</v>
      </c>
      <c r="I597" s="451"/>
      <c r="J597" s="506"/>
      <c r="K597" s="507"/>
      <c r="L597" s="506"/>
      <c r="M597" s="507"/>
      <c r="N597" s="507"/>
      <c r="O597" s="507"/>
      <c r="P597" s="508"/>
      <c r="Q597" s="512"/>
      <c r="R597" s="513"/>
      <c r="S597" s="131"/>
      <c r="T597" s="470" t="str">
        <f t="shared" si="692"/>
        <v/>
      </c>
      <c r="V597" s="549"/>
      <c r="W597" s="615">
        <f t="shared" ref="W597:X597" si="717">W596</f>
        <v>23</v>
      </c>
      <c r="X597" s="471" t="e">
        <f t="shared" si="717"/>
        <v>#REF!</v>
      </c>
      <c r="Y597" s="471" t="e">
        <f t="shared" si="694"/>
        <v>#REF!</v>
      </c>
      <c r="Z597" s="471"/>
      <c r="AA597" s="471"/>
    </row>
    <row r="598" spans="1:40" s="470" customFormat="1" ht="15.75" customHeight="1" x14ac:dyDescent="0.15">
      <c r="B598" s="453"/>
      <c r="C598" s="140"/>
      <c r="D598" s="95"/>
      <c r="E598" s="141"/>
      <c r="F598" s="94"/>
      <c r="G598" s="556"/>
      <c r="H598" s="463" t="str">
        <f t="shared" si="691"/>
        <v/>
      </c>
      <c r="I598" s="451"/>
      <c r="J598" s="506"/>
      <c r="K598" s="507"/>
      <c r="L598" s="506"/>
      <c r="M598" s="507"/>
      <c r="N598" s="507"/>
      <c r="O598" s="507"/>
      <c r="P598" s="508"/>
      <c r="Q598" s="512"/>
      <c r="R598" s="513"/>
      <c r="S598" s="131"/>
      <c r="T598" s="470" t="str">
        <f t="shared" si="692"/>
        <v/>
      </c>
      <c r="U598" s="457"/>
      <c r="V598" s="551"/>
      <c r="W598" s="471">
        <f t="shared" ref="W598:X598" si="718">W597</f>
        <v>23</v>
      </c>
      <c r="X598" s="471" t="e">
        <f t="shared" si="718"/>
        <v>#REF!</v>
      </c>
      <c r="Y598" s="471" t="e">
        <f t="shared" si="694"/>
        <v>#REF!</v>
      </c>
      <c r="Z598" s="471"/>
      <c r="AA598" s="471"/>
      <c r="AB598" s="457"/>
      <c r="AC598" s="457"/>
      <c r="AD598" s="457"/>
      <c r="AE598" s="457"/>
      <c r="AF598" s="457"/>
      <c r="AG598" s="457"/>
      <c r="AH598" s="457"/>
      <c r="AI598" s="457"/>
      <c r="AJ598" s="457"/>
      <c r="AK598" s="457"/>
      <c r="AL598" s="457"/>
      <c r="AM598" s="457"/>
      <c r="AN598" s="457"/>
    </row>
    <row r="599" spans="1:40" s="457" customFormat="1" ht="15.75" customHeight="1" x14ac:dyDescent="0.15">
      <c r="A599" s="470"/>
      <c r="B599" s="514"/>
      <c r="C599" s="543"/>
      <c r="D599" s="516"/>
      <c r="E599" s="517"/>
      <c r="F599" s="518"/>
      <c r="G599" s="557"/>
      <c r="H599" s="463" t="str">
        <f t="shared" si="691"/>
        <v/>
      </c>
      <c r="I599" s="520"/>
      <c r="J599" s="521"/>
      <c r="K599" s="522"/>
      <c r="L599" s="521"/>
      <c r="M599" s="522"/>
      <c r="N599" s="521"/>
      <c r="O599" s="522"/>
      <c r="P599" s="523"/>
      <c r="Q599" s="512"/>
      <c r="R599" s="513"/>
      <c r="S599" s="524"/>
      <c r="T599" s="470" t="str">
        <f t="shared" si="692"/>
        <v/>
      </c>
      <c r="U599" s="470"/>
      <c r="V599" s="470"/>
      <c r="W599" s="471">
        <f t="shared" ref="W599:X599" si="719">W598</f>
        <v>23</v>
      </c>
      <c r="X599" s="471" t="e">
        <f t="shared" si="719"/>
        <v>#REF!</v>
      </c>
      <c r="Y599" s="471" t="e">
        <f t="shared" si="694"/>
        <v>#REF!</v>
      </c>
      <c r="Z599" s="471"/>
      <c r="AA599" s="471"/>
      <c r="AB599" s="470"/>
      <c r="AC599" s="470"/>
      <c r="AD599" s="470"/>
      <c r="AE599" s="470"/>
      <c r="AF599" s="470"/>
      <c r="AG599" s="470"/>
      <c r="AH599" s="470"/>
      <c r="AI599" s="470"/>
      <c r="AJ599" s="470"/>
      <c r="AK599" s="470"/>
      <c r="AL599" s="470"/>
      <c r="AM599" s="470"/>
      <c r="AN599" s="470"/>
    </row>
    <row r="600" spans="1:40" s="599" customFormat="1" ht="15.75" customHeight="1" x14ac:dyDescent="0.15">
      <c r="A600" s="473"/>
      <c r="B600" s="473"/>
      <c r="C600" s="458"/>
      <c r="D600" s="459"/>
      <c r="E600" s="460"/>
      <c r="F600" s="461"/>
      <c r="G600" s="553"/>
      <c r="H600" s="463" t="str">
        <f t="shared" ref="H600:H615" si="720">CONCATENATE(C600,E600,F600)</f>
        <v/>
      </c>
      <c r="I600" s="464"/>
      <c r="J600" s="465"/>
      <c r="K600" s="465"/>
      <c r="L600" s="465"/>
      <c r="M600" s="465"/>
      <c r="N600" s="465"/>
      <c r="O600" s="466"/>
      <c r="P600" s="467"/>
      <c r="Q600" s="468"/>
      <c r="R600" s="526"/>
      <c r="S600" s="467"/>
      <c r="T600" s="599" t="str">
        <f t="shared" ref="T600:T625" si="721">CONCATENATE(Q600,R600)</f>
        <v/>
      </c>
      <c r="W600" s="533">
        <f t="shared" ref="W600" si="722">I622</f>
        <v>24</v>
      </c>
      <c r="X600" s="533" t="e">
        <f>#REF!+1</f>
        <v>#REF!</v>
      </c>
      <c r="Y600" s="533" t="e">
        <f t="shared" ref="Y600:Y640" si="723">X600-W600</f>
        <v>#REF!</v>
      </c>
      <c r="Z600" s="533"/>
      <c r="AA600" s="533"/>
    </row>
    <row r="601" spans="1:40" s="599" customFormat="1" ht="15.75" customHeight="1" x14ac:dyDescent="0.15">
      <c r="A601" s="473"/>
      <c r="B601" s="473"/>
      <c r="C601" s="723" t="str">
        <f>"   항목번호 : "&amp;목록!L$30</f>
        <v xml:space="preserve">   항목번호 : 제24호표</v>
      </c>
      <c r="D601" s="475">
        <f>목록!B$30</f>
        <v>24</v>
      </c>
      <c r="E601" s="476"/>
      <c r="F601" s="477"/>
      <c r="G601" s="554"/>
      <c r="H601" s="463" t="str">
        <f t="shared" si="720"/>
        <v xml:space="preserve">   항목번호 : 제24호표</v>
      </c>
      <c r="I601" s="479"/>
      <c r="J601" s="488"/>
      <c r="K601" s="481"/>
      <c r="L601" s="482"/>
      <c r="M601" s="482"/>
      <c r="N601" s="482"/>
      <c r="O601" s="466"/>
      <c r="P601" s="483"/>
      <c r="Q601" s="654"/>
      <c r="R601" s="485"/>
      <c r="S601" s="483"/>
      <c r="T601" s="599" t="str">
        <f t="shared" si="721"/>
        <v/>
      </c>
      <c r="U601" s="473"/>
      <c r="W601" s="471">
        <f t="shared" ref="W601:X601" si="724">W600</f>
        <v>24</v>
      </c>
      <c r="X601" s="471" t="e">
        <f t="shared" si="724"/>
        <v>#REF!</v>
      </c>
      <c r="Y601" s="471" t="e">
        <f t="shared" si="723"/>
        <v>#REF!</v>
      </c>
      <c r="Z601" s="471"/>
      <c r="AA601" s="471"/>
      <c r="AB601" s="473"/>
      <c r="AC601" s="473"/>
      <c r="AD601" s="473"/>
      <c r="AE601" s="473"/>
      <c r="AF601" s="473"/>
      <c r="AG601" s="473"/>
      <c r="AH601" s="473"/>
      <c r="AI601" s="473"/>
      <c r="AJ601" s="473"/>
      <c r="AK601" s="473"/>
      <c r="AL601" s="473"/>
      <c r="AM601" s="473"/>
      <c r="AN601" s="473"/>
    </row>
    <row r="602" spans="1:40" s="473" customFormat="1" ht="15.75" customHeight="1" x14ac:dyDescent="0.15">
      <c r="C602" s="723" t="str">
        <f>"   공      종 : "&amp;목록!D$30</f>
        <v xml:space="preserve">   공      종 : 간접조명 후레임</v>
      </c>
      <c r="D602" s="654"/>
      <c r="E602" s="476"/>
      <c r="G602" s="554"/>
      <c r="H602" s="463" t="str">
        <f t="shared" si="720"/>
        <v xml:space="preserve">   공      종 : 간접조명 후레임</v>
      </c>
      <c r="I602" s="479"/>
      <c r="J602" s="488"/>
      <c r="K602" s="481"/>
      <c r="L602" s="482"/>
      <c r="M602" s="482"/>
      <c r="N602" s="482"/>
      <c r="O602" s="466"/>
      <c r="P602" s="483"/>
      <c r="Q602" s="654"/>
      <c r="R602" s="485"/>
      <c r="S602" s="483"/>
      <c r="T602" s="599" t="str">
        <f t="shared" si="721"/>
        <v/>
      </c>
      <c r="V602" s="599"/>
      <c r="W602" s="471">
        <f t="shared" ref="W602:X602" si="725">W601</f>
        <v>24</v>
      </c>
      <c r="X602" s="471" t="e">
        <f t="shared" si="725"/>
        <v>#REF!</v>
      </c>
      <c r="Y602" s="471" t="e">
        <f t="shared" si="723"/>
        <v>#REF!</v>
      </c>
      <c r="Z602" s="471"/>
      <c r="AA602" s="471"/>
    </row>
    <row r="603" spans="1:40" s="473" customFormat="1" ht="15.75" customHeight="1" x14ac:dyDescent="0.15">
      <c r="C603" s="723" t="str">
        <f xml:space="preserve"> "   규      격 : "&amp;목록!F$30</f>
        <v xml:space="preserve">   규      격 : GAL'V,THK=1.6mm(S) W=160</v>
      </c>
      <c r="D603" s="654"/>
      <c r="E603" s="476"/>
      <c r="G603" s="554"/>
      <c r="H603" s="463" t="str">
        <f t="shared" si="720"/>
        <v xml:space="preserve">   규      격 : GAL'V,THK=1.6mm(S) W=160</v>
      </c>
      <c r="I603" s="479"/>
      <c r="J603" s="488" t="s">
        <v>348</v>
      </c>
      <c r="K603" s="481"/>
      <c r="L603" s="482" t="s">
        <v>349</v>
      </c>
      <c r="M603" s="482"/>
      <c r="N603" s="482" t="s">
        <v>240</v>
      </c>
      <c r="O603" s="466"/>
      <c r="P603" s="483"/>
      <c r="Q603" s="654" t="s">
        <v>723</v>
      </c>
      <c r="R603" s="654"/>
      <c r="S603" s="483"/>
      <c r="T603" s="599" t="str">
        <f t="shared" si="721"/>
        <v>합계</v>
      </c>
      <c r="V603" s="599"/>
      <c r="W603" s="471">
        <f t="shared" ref="W603:X603" si="726">W602</f>
        <v>24</v>
      </c>
      <c r="X603" s="471" t="e">
        <f t="shared" si="726"/>
        <v>#REF!</v>
      </c>
      <c r="Y603" s="471" t="e">
        <f t="shared" si="723"/>
        <v>#REF!</v>
      </c>
      <c r="Z603" s="471"/>
      <c r="AA603" s="471"/>
    </row>
    <row r="604" spans="1:40" s="473" customFormat="1" ht="15.75" customHeight="1" x14ac:dyDescent="0.15">
      <c r="C604" s="723" t="str">
        <f>"   단      위 : "&amp;목록!G$30</f>
        <v xml:space="preserve">   단      위 : m</v>
      </c>
      <c r="D604" s="654"/>
      <c r="E604" s="476"/>
      <c r="G604" s="554"/>
      <c r="H604" s="463" t="str">
        <f t="shared" si="720"/>
        <v xml:space="preserve">   단      위 : m</v>
      </c>
      <c r="I604" s="479"/>
      <c r="J604" s="489">
        <f>K622</f>
        <v>10679</v>
      </c>
      <c r="K604" s="481"/>
      <c r="L604" s="487">
        <f>M622</f>
        <v>26414</v>
      </c>
      <c r="M604" s="482"/>
      <c r="N604" s="482">
        <f>O622</f>
        <v>33</v>
      </c>
      <c r="O604" s="466"/>
      <c r="P604" s="483"/>
      <c r="Q604" s="488">
        <f>J604+L604+N604</f>
        <v>37126</v>
      </c>
      <c r="R604" s="489"/>
      <c r="S604" s="483"/>
      <c r="T604" s="599" t="str">
        <f t="shared" si="721"/>
        <v>37126</v>
      </c>
      <c r="V604" s="599"/>
      <c r="W604" s="471">
        <f t="shared" ref="W604:X604" si="727">W603</f>
        <v>24</v>
      </c>
      <c r="X604" s="471" t="e">
        <f t="shared" si="727"/>
        <v>#REF!</v>
      </c>
      <c r="Y604" s="471" t="e">
        <f t="shared" si="723"/>
        <v>#REF!</v>
      </c>
      <c r="Z604" s="471"/>
      <c r="AA604" s="471"/>
    </row>
    <row r="605" spans="1:40" s="473" customFormat="1" ht="15.75" customHeight="1" x14ac:dyDescent="0.15">
      <c r="C605" s="723"/>
      <c r="D605" s="654"/>
      <c r="E605" s="476"/>
      <c r="G605" s="555"/>
      <c r="H605" s="463" t="str">
        <f t="shared" si="720"/>
        <v/>
      </c>
      <c r="I605" s="491"/>
      <c r="J605" s="482"/>
      <c r="K605" s="465"/>
      <c r="L605" s="482"/>
      <c r="M605" s="482"/>
      <c r="N605" s="482"/>
      <c r="O605" s="466"/>
      <c r="P605" s="492"/>
      <c r="Q605" s="493"/>
      <c r="R605" s="485"/>
      <c r="S605" s="492"/>
      <c r="T605" s="599" t="str">
        <f t="shared" si="721"/>
        <v/>
      </c>
      <c r="V605" s="599"/>
      <c r="W605" s="471">
        <f t="shared" ref="W605:X605" si="728">W604</f>
        <v>24</v>
      </c>
      <c r="X605" s="471" t="e">
        <f t="shared" si="728"/>
        <v>#REF!</v>
      </c>
      <c r="Y605" s="471" t="e">
        <f t="shared" si="723"/>
        <v>#REF!</v>
      </c>
      <c r="Z605" s="471"/>
      <c r="AA605" s="471"/>
    </row>
    <row r="606" spans="1:40" s="473" customFormat="1" ht="15.75" customHeight="1" x14ac:dyDescent="0.15">
      <c r="B606" s="899" t="s">
        <v>375</v>
      </c>
      <c r="C606" s="900"/>
      <c r="D606" s="915" t="s">
        <v>356</v>
      </c>
      <c r="E606" s="908"/>
      <c r="F606" s="903" t="s">
        <v>588</v>
      </c>
      <c r="G606" s="911" t="s">
        <v>589</v>
      </c>
      <c r="H606" s="463" t="str">
        <f t="shared" si="720"/>
        <v>단위</v>
      </c>
      <c r="I606" s="623"/>
      <c r="J606" s="495" t="s">
        <v>348</v>
      </c>
      <c r="K606" s="496"/>
      <c r="L606" s="495" t="s">
        <v>349</v>
      </c>
      <c r="M606" s="496"/>
      <c r="N606" s="497" t="s">
        <v>240</v>
      </c>
      <c r="O606" s="497"/>
      <c r="P606" s="498"/>
      <c r="Q606" s="744" t="s">
        <v>355</v>
      </c>
      <c r="R606" s="744"/>
      <c r="S606" s="499"/>
      <c r="T606" s="599" t="str">
        <f t="shared" si="721"/>
        <v>비  고</v>
      </c>
      <c r="V606" s="599"/>
      <c r="W606" s="471">
        <f t="shared" ref="W606:X606" si="729">W605</f>
        <v>24</v>
      </c>
      <c r="X606" s="471" t="e">
        <f t="shared" si="729"/>
        <v>#REF!</v>
      </c>
      <c r="Y606" s="471" t="e">
        <f t="shared" si="723"/>
        <v>#REF!</v>
      </c>
      <c r="Z606" s="471"/>
      <c r="AA606" s="471"/>
    </row>
    <row r="607" spans="1:40" s="473" customFormat="1" ht="15.75" customHeight="1" x14ac:dyDescent="0.15">
      <c r="A607" s="599"/>
      <c r="B607" s="901"/>
      <c r="C607" s="902"/>
      <c r="D607" s="916"/>
      <c r="E607" s="910"/>
      <c r="F607" s="904"/>
      <c r="G607" s="912"/>
      <c r="H607" s="463" t="str">
        <f t="shared" si="720"/>
        <v/>
      </c>
      <c r="I607" s="624"/>
      <c r="J607" s="501" t="s">
        <v>353</v>
      </c>
      <c r="K607" s="501" t="s">
        <v>354</v>
      </c>
      <c r="L607" s="501" t="s">
        <v>353</v>
      </c>
      <c r="M607" s="722" t="s">
        <v>354</v>
      </c>
      <c r="N607" s="501" t="s">
        <v>353</v>
      </c>
      <c r="O607" s="501" t="s">
        <v>354</v>
      </c>
      <c r="P607" s="503"/>
      <c r="Q607" s="745"/>
      <c r="R607" s="745"/>
      <c r="S607" s="504"/>
      <c r="T607" s="599" t="str">
        <f t="shared" si="721"/>
        <v/>
      </c>
      <c r="V607" s="599"/>
      <c r="W607" s="471">
        <f t="shared" ref="W607:X607" si="730">W606</f>
        <v>24</v>
      </c>
      <c r="X607" s="471" t="e">
        <f t="shared" si="730"/>
        <v>#REF!</v>
      </c>
      <c r="Y607" s="471" t="e">
        <f t="shared" si="723"/>
        <v>#REF!</v>
      </c>
      <c r="Z607" s="471"/>
      <c r="AA607" s="471"/>
    </row>
    <row r="608" spans="1:40" s="473" customFormat="1" ht="15.75" customHeight="1" x14ac:dyDescent="0.15">
      <c r="A608" s="599"/>
      <c r="B608" s="670"/>
      <c r="C608" s="669" t="s">
        <v>741</v>
      </c>
      <c r="D608" s="670"/>
      <c r="E608" s="669" t="s">
        <v>742</v>
      </c>
      <c r="F608" s="207" t="s">
        <v>726</v>
      </c>
      <c r="G608" s="505">
        <v>0.16</v>
      </c>
      <c r="H608" s="463" t="str">
        <f t="shared" si="720"/>
        <v>ST'L PLATEGAL-V, THK=1.6mm(S)㎡</v>
      </c>
      <c r="I608" s="671" t="str">
        <f>CONCATENATE(C608,E608,F608)</f>
        <v>ST'L PLATEGAL-V, THK=1.6mm(S)㎡</v>
      </c>
      <c r="J608" s="506">
        <f>VLOOKUP($H608,목록!$A:$K,8,FALSE)</f>
        <v>19165</v>
      </c>
      <c r="K608" s="507">
        <f>IF(J608="","",TRUNC($G608*J608,0))</f>
        <v>3066</v>
      </c>
      <c r="L608" s="506">
        <f>VLOOKUP($H608,목록!$A:$K,9,FALSE)</f>
        <v>91689</v>
      </c>
      <c r="M608" s="507">
        <f>IF(L608="","",TRUNC($G608*L608,0))</f>
        <v>14670</v>
      </c>
      <c r="N608" s="506">
        <f>VLOOKUP($H608,목록!$A:$K,10,FALSE)</f>
        <v>207</v>
      </c>
      <c r="O608" s="507">
        <f>IF(N608="","",TRUNC($G608*N608,0))</f>
        <v>33</v>
      </c>
      <c r="P608" s="508"/>
      <c r="Q608" s="509" t="str">
        <f>"제"&amp;VLOOKUP($H:$H,목록!$A:$B,2,FALSE)&amp;"호표"</f>
        <v>제23호표</v>
      </c>
      <c r="R608" s="550"/>
      <c r="S608" s="131"/>
      <c r="T608" s="599" t="str">
        <f t="shared" si="721"/>
        <v>제23호표</v>
      </c>
      <c r="V608" s="599"/>
      <c r="W608" s="471">
        <f t="shared" ref="W608:X608" si="731">W607</f>
        <v>24</v>
      </c>
      <c r="X608" s="471" t="e">
        <f t="shared" si="731"/>
        <v>#REF!</v>
      </c>
      <c r="Y608" s="471" t="e">
        <f t="shared" ref="Y608:Y615" si="732">X608-W608</f>
        <v>#REF!</v>
      </c>
      <c r="Z608" s="471"/>
      <c r="AA608" s="471"/>
    </row>
    <row r="609" spans="1:40" s="473" customFormat="1" ht="15.75" customHeight="1" x14ac:dyDescent="0.15">
      <c r="A609" s="599"/>
      <c r="B609" s="670"/>
      <c r="C609" s="669" t="s">
        <v>745</v>
      </c>
      <c r="D609" s="670"/>
      <c r="E609" s="669" t="s">
        <v>743</v>
      </c>
      <c r="F609" s="207" t="s">
        <v>726</v>
      </c>
      <c r="G609" s="505">
        <v>0.16</v>
      </c>
      <c r="H609" s="463" t="str">
        <f t="shared" si="720"/>
        <v>LINE PUTTY철재면㎡</v>
      </c>
      <c r="I609" s="671" t="str">
        <f>CONCATENATE(C609,E609,F609)</f>
        <v>LINE PUTTY철재면㎡</v>
      </c>
      <c r="J609" s="506">
        <f>VLOOKUP($H609,목록!$A:$K,8,FALSE)</f>
        <v>12385</v>
      </c>
      <c r="K609" s="507">
        <f>IF(J609="","",TRUNC($G609*J609,0))</f>
        <v>1981</v>
      </c>
      <c r="L609" s="506">
        <f>VLOOKUP($H609,목록!$A:$K,9,FALSE)</f>
        <v>12338</v>
      </c>
      <c r="M609" s="507">
        <f>IF(L609="","",TRUNC($G609*L609,0))</f>
        <v>1974</v>
      </c>
      <c r="N609" s="506" t="str">
        <f>VLOOKUP($H609,목록!$A:$K,10,FALSE)</f>
        <v/>
      </c>
      <c r="O609" s="507" t="str">
        <f>IF(N609="","",TRUNC($G609*N609,0))</f>
        <v/>
      </c>
      <c r="P609" s="508"/>
      <c r="Q609" s="509" t="str">
        <f>"제"&amp;VLOOKUP($H:$H,목록!$A:$B,2,FALSE)&amp;"호표"</f>
        <v>제39호표</v>
      </c>
      <c r="R609" s="550"/>
      <c r="S609" s="131"/>
      <c r="T609" s="599" t="str">
        <f t="shared" si="721"/>
        <v>제39호표</v>
      </c>
      <c r="V609" s="599"/>
      <c r="W609" s="471">
        <f t="shared" ref="W609:X609" si="733">W608</f>
        <v>24</v>
      </c>
      <c r="X609" s="471" t="e">
        <f t="shared" si="733"/>
        <v>#REF!</v>
      </c>
      <c r="Y609" s="471" t="e">
        <f t="shared" si="732"/>
        <v>#REF!</v>
      </c>
      <c r="Z609" s="471"/>
      <c r="AA609" s="471"/>
    </row>
    <row r="610" spans="1:40" s="473" customFormat="1" ht="15.75" customHeight="1" x14ac:dyDescent="0.15">
      <c r="A610" s="599"/>
      <c r="B610" s="670"/>
      <c r="C610" s="669" t="s">
        <v>747</v>
      </c>
      <c r="D610" s="670"/>
      <c r="E610" s="669" t="s">
        <v>748</v>
      </c>
      <c r="F610" s="207" t="s">
        <v>726</v>
      </c>
      <c r="G610" s="505">
        <v>0.16</v>
      </c>
      <c r="H610" s="463" t="str">
        <f t="shared" si="720"/>
        <v>칼라락카철재면기준㎡</v>
      </c>
      <c r="I610" s="671" t="str">
        <f>CONCATENATE(C610,E610,F610)</f>
        <v>칼라락카철재면기준㎡</v>
      </c>
      <c r="J610" s="506">
        <f>VLOOKUP($H610,목록!$A:$K,8,FALSE)</f>
        <v>10204</v>
      </c>
      <c r="K610" s="507">
        <f>IF(J610="","",TRUNC($G610*J610,0))</f>
        <v>1632</v>
      </c>
      <c r="L610" s="506">
        <f>VLOOKUP($H610,목록!$A:$K,9,FALSE)</f>
        <v>61065</v>
      </c>
      <c r="M610" s="507">
        <f>IF(L610="","",TRUNC($G610*L610,0))</f>
        <v>9770</v>
      </c>
      <c r="N610" s="506" t="str">
        <f>VLOOKUP($H610,목록!$A:$K,10,FALSE)</f>
        <v/>
      </c>
      <c r="O610" s="507" t="str">
        <f>IF(N610="","",TRUNC($G610*N610,0))</f>
        <v/>
      </c>
      <c r="P610" s="508"/>
      <c r="Q610" s="509" t="str">
        <f>"제"&amp;VLOOKUP($H:$H,목록!$A:$B,2,FALSE)&amp;"호표"</f>
        <v>제43호표</v>
      </c>
      <c r="R610" s="550"/>
      <c r="S610" s="131"/>
      <c r="T610" s="599" t="str">
        <f t="shared" si="721"/>
        <v>제43호표</v>
      </c>
      <c r="U610" s="599"/>
      <c r="V610" s="599"/>
      <c r="W610" s="471">
        <f t="shared" ref="W610:X610" si="734">W609</f>
        <v>24</v>
      </c>
      <c r="X610" s="471" t="e">
        <f t="shared" si="734"/>
        <v>#REF!</v>
      </c>
      <c r="Y610" s="471" t="e">
        <f t="shared" si="732"/>
        <v>#REF!</v>
      </c>
      <c r="Z610" s="471"/>
      <c r="AA610" s="471"/>
      <c r="AB610" s="599"/>
      <c r="AC610" s="599"/>
      <c r="AD610" s="599"/>
      <c r="AE610" s="599"/>
      <c r="AF610" s="599"/>
      <c r="AG610" s="599"/>
      <c r="AH610" s="599"/>
      <c r="AI610" s="599"/>
      <c r="AJ610" s="599"/>
      <c r="AK610" s="599"/>
      <c r="AL610" s="599"/>
      <c r="AM610" s="599"/>
      <c r="AN610" s="599"/>
    </row>
    <row r="611" spans="1:40" s="599" customFormat="1" ht="15.75" customHeight="1" x14ac:dyDescent="0.15">
      <c r="B611" s="670"/>
      <c r="C611" s="204" t="s">
        <v>886</v>
      </c>
      <c r="D611" s="213"/>
      <c r="E611" s="602" t="s">
        <v>887</v>
      </c>
      <c r="F611" s="207" t="s">
        <v>888</v>
      </c>
      <c r="G611" s="505">
        <v>4</v>
      </c>
      <c r="H611" s="463" t="str">
        <f t="shared" si="720"/>
        <v>절곡가공V-컷팅M</v>
      </c>
      <c r="I611" s="671" t="str">
        <f>CONCATENATE(C611,E611,F611)</f>
        <v>절곡가공V-컷팅M</v>
      </c>
      <c r="J611" s="506">
        <f>IF(OR($F611="인",$F611=""),"",VLOOKUP($H611,단가!$A:$S,19,FALSE))</f>
        <v>1000</v>
      </c>
      <c r="K611" s="507">
        <f>IF(J611="","",TRUNC($G611*J611,0))</f>
        <v>4000</v>
      </c>
      <c r="L611" s="506" t="str">
        <f>IF($F611="인",VLOOKUP($C:$C,노임!$C:$G,4,FALSE),"")</f>
        <v/>
      </c>
      <c r="M611" s="507" t="str">
        <f>IF(L611="","",TRUNC($G611*L611,0))</f>
        <v/>
      </c>
      <c r="N611" s="507"/>
      <c r="O611" s="507" t="str">
        <f>IF(N611="","",TRUNC($G611*N611,0))</f>
        <v/>
      </c>
      <c r="P611" s="508"/>
      <c r="Q611" s="509" t="str">
        <f>IF(F611="인","노임"&amp;VLOOKUP($C:$C,노임!C:G,5,FALSE)&amp;"번","단가"&amp;VLOOKUP($H:$H,단가!$A:$B,2,FALSE)&amp;"번")</f>
        <v>단가77번</v>
      </c>
      <c r="R611" s="510"/>
      <c r="S611" s="131"/>
      <c r="T611" s="599" t="str">
        <f t="shared" si="721"/>
        <v>단가77번</v>
      </c>
      <c r="W611" s="471">
        <f t="shared" ref="W611:X611" si="735">W610</f>
        <v>24</v>
      </c>
      <c r="X611" s="471" t="e">
        <f t="shared" si="735"/>
        <v>#REF!</v>
      </c>
      <c r="Y611" s="471" t="e">
        <f t="shared" si="732"/>
        <v>#REF!</v>
      </c>
      <c r="Z611" s="471"/>
      <c r="AA611" s="471"/>
    </row>
    <row r="612" spans="1:40" s="599" customFormat="1" ht="15.75" customHeight="1" x14ac:dyDescent="0.15">
      <c r="B612" s="670"/>
      <c r="C612" s="140"/>
      <c r="D612" s="670"/>
      <c r="E612" s="643"/>
      <c r="F612" s="207"/>
      <c r="G612" s="556"/>
      <c r="H612" s="463" t="str">
        <f t="shared" si="720"/>
        <v/>
      </c>
      <c r="I612" s="671"/>
      <c r="J612" s="506"/>
      <c r="K612" s="507"/>
      <c r="L612" s="506"/>
      <c r="M612" s="507"/>
      <c r="N612" s="507"/>
      <c r="O612" s="507"/>
      <c r="P612" s="508"/>
      <c r="Q612" s="512"/>
      <c r="R612" s="534"/>
      <c r="S612" s="131"/>
      <c r="T612" s="599" t="str">
        <f t="shared" si="721"/>
        <v/>
      </c>
      <c r="W612" s="471">
        <f t="shared" ref="W612:X612" si="736">W611</f>
        <v>24</v>
      </c>
      <c r="X612" s="471" t="e">
        <f t="shared" si="736"/>
        <v>#REF!</v>
      </c>
      <c r="Y612" s="471" t="e">
        <f t="shared" si="732"/>
        <v>#REF!</v>
      </c>
      <c r="Z612" s="471"/>
      <c r="AA612" s="471"/>
    </row>
    <row r="613" spans="1:40" s="599" customFormat="1" ht="15.75" customHeight="1" x14ac:dyDescent="0.15">
      <c r="B613" s="670"/>
      <c r="C613" s="140"/>
      <c r="D613" s="670"/>
      <c r="E613" s="643"/>
      <c r="F613" s="207"/>
      <c r="G613" s="556"/>
      <c r="H613" s="463" t="str">
        <f t="shared" si="720"/>
        <v/>
      </c>
      <c r="I613" s="671"/>
      <c r="J613" s="506"/>
      <c r="K613" s="507"/>
      <c r="L613" s="506"/>
      <c r="M613" s="507"/>
      <c r="N613" s="507"/>
      <c r="O613" s="507"/>
      <c r="P613" s="508"/>
      <c r="Q613" s="512"/>
      <c r="R613" s="534"/>
      <c r="S613" s="131"/>
      <c r="T613" s="599" t="str">
        <f t="shared" si="721"/>
        <v/>
      </c>
      <c r="W613" s="471">
        <f t="shared" ref="W613:X613" si="737">W612</f>
        <v>24</v>
      </c>
      <c r="X613" s="471" t="e">
        <f t="shared" si="737"/>
        <v>#REF!</v>
      </c>
      <c r="Y613" s="471" t="e">
        <f t="shared" si="732"/>
        <v>#REF!</v>
      </c>
      <c r="Z613" s="471"/>
      <c r="AA613" s="471"/>
    </row>
    <row r="614" spans="1:40" s="599" customFormat="1" ht="15.75" customHeight="1" x14ac:dyDescent="0.15">
      <c r="B614" s="670"/>
      <c r="C614" s="140"/>
      <c r="D614" s="670"/>
      <c r="E614" s="643"/>
      <c r="F614" s="207"/>
      <c r="G614" s="556"/>
      <c r="H614" s="463" t="str">
        <f t="shared" si="720"/>
        <v/>
      </c>
      <c r="I614" s="671"/>
      <c r="J614" s="506"/>
      <c r="K614" s="507"/>
      <c r="L614" s="506"/>
      <c r="M614" s="507"/>
      <c r="N614" s="507"/>
      <c r="O614" s="507"/>
      <c r="P614" s="508"/>
      <c r="Q614" s="512"/>
      <c r="R614" s="513"/>
      <c r="S614" s="131"/>
      <c r="T614" s="599" t="str">
        <f t="shared" si="721"/>
        <v/>
      </c>
      <c r="W614" s="471">
        <f t="shared" ref="W614:X614" si="738">W613</f>
        <v>24</v>
      </c>
      <c r="X614" s="471" t="e">
        <f t="shared" si="738"/>
        <v>#REF!</v>
      </c>
      <c r="Y614" s="471" t="e">
        <f t="shared" si="732"/>
        <v>#REF!</v>
      </c>
      <c r="Z614" s="471"/>
      <c r="AA614" s="471"/>
    </row>
    <row r="615" spans="1:40" s="599" customFormat="1" ht="15.75" customHeight="1" x14ac:dyDescent="0.15">
      <c r="B615" s="670"/>
      <c r="C615" s="140"/>
      <c r="D615" s="670"/>
      <c r="E615" s="643"/>
      <c r="F615" s="207"/>
      <c r="G615" s="556"/>
      <c r="H615" s="463" t="str">
        <f t="shared" si="720"/>
        <v/>
      </c>
      <c r="I615" s="671"/>
      <c r="J615" s="506"/>
      <c r="K615" s="507"/>
      <c r="L615" s="506"/>
      <c r="M615" s="507"/>
      <c r="N615" s="507"/>
      <c r="O615" s="507"/>
      <c r="P615" s="508"/>
      <c r="Q615" s="512"/>
      <c r="R615" s="534"/>
      <c r="S615" s="131"/>
      <c r="T615" s="599" t="str">
        <f t="shared" si="721"/>
        <v/>
      </c>
      <c r="W615" s="471">
        <f t="shared" ref="W615:X615" si="739">W614</f>
        <v>24</v>
      </c>
      <c r="X615" s="471" t="e">
        <f t="shared" si="739"/>
        <v>#REF!</v>
      </c>
      <c r="Y615" s="471" t="e">
        <f t="shared" si="732"/>
        <v>#REF!</v>
      </c>
      <c r="Z615" s="471"/>
      <c r="AA615" s="471"/>
    </row>
    <row r="616" spans="1:40" s="599" customFormat="1" ht="15.75" customHeight="1" x14ac:dyDescent="0.15">
      <c r="B616" s="670"/>
      <c r="C616" s="140"/>
      <c r="D616" s="670"/>
      <c r="E616" s="643"/>
      <c r="F616" s="207"/>
      <c r="G616" s="556"/>
      <c r="H616" s="463" t="str">
        <f t="shared" ref="H616:H625" si="740">CONCATENATE(C616,E616,F616)</f>
        <v/>
      </c>
      <c r="I616" s="671"/>
      <c r="J616" s="506"/>
      <c r="K616" s="507"/>
      <c r="L616" s="506"/>
      <c r="M616" s="507"/>
      <c r="N616" s="507"/>
      <c r="O616" s="507"/>
      <c r="P616" s="508"/>
      <c r="Q616" s="512"/>
      <c r="R616" s="513"/>
      <c r="S616" s="131"/>
      <c r="T616" s="599" t="str">
        <f t="shared" si="721"/>
        <v/>
      </c>
      <c r="W616" s="471">
        <f t="shared" ref="W616:X616" si="741">W615</f>
        <v>24</v>
      </c>
      <c r="X616" s="471" t="e">
        <f t="shared" si="741"/>
        <v>#REF!</v>
      </c>
      <c r="Y616" s="471" t="e">
        <f t="shared" si="723"/>
        <v>#REF!</v>
      </c>
      <c r="Z616" s="471"/>
      <c r="AA616" s="471"/>
    </row>
    <row r="617" spans="1:40" s="599" customFormat="1" ht="15.75" customHeight="1" x14ac:dyDescent="0.15">
      <c r="B617" s="670"/>
      <c r="C617" s="140"/>
      <c r="D617" s="670"/>
      <c r="E617" s="643"/>
      <c r="F617" s="207"/>
      <c r="G617" s="556"/>
      <c r="H617" s="463" t="str">
        <f>CONCATENATE(C617,E617,F617)</f>
        <v/>
      </c>
      <c r="I617" s="671"/>
      <c r="J617" s="506"/>
      <c r="K617" s="507"/>
      <c r="L617" s="506"/>
      <c r="M617" s="507"/>
      <c r="N617" s="507"/>
      <c r="O617" s="507"/>
      <c r="P617" s="508"/>
      <c r="Q617" s="512"/>
      <c r="R617" s="513"/>
      <c r="S617" s="131"/>
      <c r="T617" s="599" t="str">
        <f>CONCATENATE(Q617,R617)</f>
        <v/>
      </c>
      <c r="W617" s="471">
        <f t="shared" ref="W617:X617" si="742">W616</f>
        <v>24</v>
      </c>
      <c r="X617" s="471" t="e">
        <f t="shared" si="742"/>
        <v>#REF!</v>
      </c>
      <c r="Y617" s="471" t="e">
        <f t="shared" si="723"/>
        <v>#REF!</v>
      </c>
      <c r="Z617" s="471"/>
      <c r="AA617" s="471"/>
    </row>
    <row r="618" spans="1:40" s="599" customFormat="1" ht="15.75" customHeight="1" x14ac:dyDescent="0.15">
      <c r="B618" s="670"/>
      <c r="C618" s="140"/>
      <c r="D618" s="670"/>
      <c r="E618" s="643"/>
      <c r="F618" s="207"/>
      <c r="G618" s="556"/>
      <c r="H618" s="463" t="str">
        <f t="shared" si="740"/>
        <v/>
      </c>
      <c r="I618" s="671"/>
      <c r="J618" s="506"/>
      <c r="K618" s="507"/>
      <c r="L618" s="506"/>
      <c r="M618" s="507"/>
      <c r="N618" s="507"/>
      <c r="O618" s="507"/>
      <c r="P618" s="508"/>
      <c r="Q618" s="512"/>
      <c r="R618" s="513"/>
      <c r="S618" s="131"/>
      <c r="T618" s="599" t="str">
        <f t="shared" si="721"/>
        <v/>
      </c>
      <c r="W618" s="471">
        <f t="shared" ref="W618:X618" si="743">W617</f>
        <v>24</v>
      </c>
      <c r="X618" s="471" t="e">
        <f t="shared" si="743"/>
        <v>#REF!</v>
      </c>
      <c r="Y618" s="471" t="e">
        <f t="shared" si="723"/>
        <v>#REF!</v>
      </c>
      <c r="Z618" s="471"/>
      <c r="AA618" s="471"/>
    </row>
    <row r="619" spans="1:40" s="599" customFormat="1" ht="15.75" customHeight="1" x14ac:dyDescent="0.15">
      <c r="B619" s="670"/>
      <c r="C619" s="630"/>
      <c r="D619" s="670"/>
      <c r="E619" s="643"/>
      <c r="F619" s="207"/>
      <c r="G619" s="556"/>
      <c r="H619" s="463" t="str">
        <f t="shared" si="740"/>
        <v/>
      </c>
      <c r="I619" s="671"/>
      <c r="J619" s="506"/>
      <c r="K619" s="507"/>
      <c r="L619" s="506"/>
      <c r="M619" s="507"/>
      <c r="N619" s="507"/>
      <c r="O619" s="507"/>
      <c r="P619" s="508"/>
      <c r="Q619" s="512"/>
      <c r="R619" s="513"/>
      <c r="S619" s="131"/>
      <c r="T619" s="599" t="str">
        <f t="shared" si="721"/>
        <v/>
      </c>
      <c r="W619" s="471">
        <f t="shared" ref="W619:X619" si="744">W618</f>
        <v>24</v>
      </c>
      <c r="X619" s="471" t="e">
        <f t="shared" si="744"/>
        <v>#REF!</v>
      </c>
      <c r="Y619" s="471" t="e">
        <f t="shared" si="723"/>
        <v>#REF!</v>
      </c>
      <c r="Z619" s="471"/>
      <c r="AA619" s="471"/>
    </row>
    <row r="620" spans="1:40" s="599" customFormat="1" ht="15.75" customHeight="1" x14ac:dyDescent="0.15">
      <c r="B620" s="670"/>
      <c r="C620" s="630"/>
      <c r="D620" s="670"/>
      <c r="E620" s="643"/>
      <c r="F620" s="207"/>
      <c r="G620" s="556"/>
      <c r="H620" s="463" t="str">
        <f t="shared" si="740"/>
        <v/>
      </c>
      <c r="I620" s="671"/>
      <c r="J620" s="506"/>
      <c r="K620" s="507"/>
      <c r="L620" s="506"/>
      <c r="M620" s="507"/>
      <c r="N620" s="507"/>
      <c r="O620" s="507"/>
      <c r="P620" s="508"/>
      <c r="Q620" s="512"/>
      <c r="R620" s="513"/>
      <c r="S620" s="131"/>
      <c r="T620" s="599" t="str">
        <f t="shared" si="721"/>
        <v/>
      </c>
      <c r="W620" s="471">
        <f t="shared" ref="W620:X620" si="745">W619</f>
        <v>24</v>
      </c>
      <c r="X620" s="471" t="e">
        <f t="shared" si="745"/>
        <v>#REF!</v>
      </c>
      <c r="Y620" s="471" t="e">
        <f t="shared" si="723"/>
        <v>#REF!</v>
      </c>
      <c r="Z620" s="471"/>
      <c r="AA620" s="471"/>
    </row>
    <row r="621" spans="1:40" s="599" customFormat="1" ht="15.75" customHeight="1" x14ac:dyDescent="0.15">
      <c r="B621" s="670"/>
      <c r="C621" s="140"/>
      <c r="D621" s="670"/>
      <c r="E621" s="643"/>
      <c r="F621" s="207"/>
      <c r="G621" s="556"/>
      <c r="H621" s="463" t="str">
        <f t="shared" si="740"/>
        <v/>
      </c>
      <c r="I621" s="671"/>
      <c r="J621" s="506"/>
      <c r="K621" s="507"/>
      <c r="L621" s="506"/>
      <c r="M621" s="507"/>
      <c r="N621" s="507"/>
      <c r="O621" s="507"/>
      <c r="P621" s="508"/>
      <c r="Q621" s="512"/>
      <c r="R621" s="513"/>
      <c r="S621" s="131"/>
      <c r="T621" s="599" t="str">
        <f t="shared" si="721"/>
        <v/>
      </c>
      <c r="W621" s="471">
        <f t="shared" ref="W621:X621" si="746">W620</f>
        <v>24</v>
      </c>
      <c r="X621" s="471" t="e">
        <f t="shared" si="746"/>
        <v>#REF!</v>
      </c>
      <c r="Y621" s="471" t="e">
        <f t="shared" si="723"/>
        <v>#REF!</v>
      </c>
      <c r="Z621" s="471"/>
      <c r="AA621" s="471"/>
    </row>
    <row r="622" spans="1:40" s="599" customFormat="1" ht="15.75" customHeight="1" x14ac:dyDescent="0.15">
      <c r="B622" s="514" t="s">
        <v>346</v>
      </c>
      <c r="C622" s="515"/>
      <c r="D622" s="516"/>
      <c r="E622" s="517"/>
      <c r="F622" s="518"/>
      <c r="G622" s="557"/>
      <c r="H622" s="463" t="str">
        <f t="shared" si="740"/>
        <v/>
      </c>
      <c r="I622" s="520">
        <f>목록!$B$30</f>
        <v>24</v>
      </c>
      <c r="J622" s="521"/>
      <c r="K622" s="522">
        <f>SUM(K608:K621)</f>
        <v>10679</v>
      </c>
      <c r="L622" s="521"/>
      <c r="M622" s="522">
        <f>SUM(M608:M621)</f>
        <v>26414</v>
      </c>
      <c r="N622" s="521"/>
      <c r="O622" s="522">
        <f>SUM(O608:O621)</f>
        <v>33</v>
      </c>
      <c r="P622" s="523"/>
      <c r="Q622" s="512"/>
      <c r="R622" s="513"/>
      <c r="S622" s="524"/>
      <c r="T622" s="599" t="str">
        <f t="shared" si="721"/>
        <v/>
      </c>
      <c r="W622" s="471">
        <f t="shared" ref="W622:X622" si="747">W621</f>
        <v>24</v>
      </c>
      <c r="X622" s="471" t="e">
        <f t="shared" si="747"/>
        <v>#REF!</v>
      </c>
      <c r="Y622" s="471" t="e">
        <f t="shared" si="723"/>
        <v>#REF!</v>
      </c>
      <c r="Z622" s="471"/>
      <c r="AA622" s="471"/>
    </row>
    <row r="623" spans="1:40" s="599" customFormat="1" ht="15.75" customHeight="1" x14ac:dyDescent="0.15">
      <c r="A623" s="473"/>
      <c r="B623" s="453"/>
      <c r="C623" s="630" t="s">
        <v>639</v>
      </c>
      <c r="D623" s="670"/>
      <c r="E623" s="643"/>
      <c r="F623" s="207"/>
      <c r="G623" s="556"/>
      <c r="H623" s="463" t="str">
        <f t="shared" si="740"/>
        <v>※건축표준품셈 14-5 잡철물제작설치</v>
      </c>
      <c r="I623" s="671"/>
      <c r="J623" s="506"/>
      <c r="K623" s="507"/>
      <c r="L623" s="506"/>
      <c r="M623" s="507"/>
      <c r="N623" s="507"/>
      <c r="O623" s="507"/>
      <c r="P623" s="508"/>
      <c r="Q623" s="512"/>
      <c r="R623" s="513"/>
      <c r="S623" s="131"/>
      <c r="T623" s="599" t="str">
        <f t="shared" si="721"/>
        <v/>
      </c>
      <c r="W623" s="615">
        <f t="shared" ref="W623:X623" si="748">W622</f>
        <v>24</v>
      </c>
      <c r="X623" s="471" t="e">
        <f t="shared" si="748"/>
        <v>#REF!</v>
      </c>
      <c r="Y623" s="471" t="e">
        <f t="shared" si="723"/>
        <v>#REF!</v>
      </c>
      <c r="Z623" s="471"/>
      <c r="AA623" s="471"/>
    </row>
    <row r="624" spans="1:40" s="599" customFormat="1" ht="15.75" customHeight="1" x14ac:dyDescent="0.15">
      <c r="B624" s="453"/>
      <c r="C624" s="630"/>
      <c r="D624" s="670"/>
      <c r="E624" s="643"/>
      <c r="F624" s="207"/>
      <c r="G624" s="556"/>
      <c r="H624" s="463" t="str">
        <f t="shared" si="740"/>
        <v/>
      </c>
      <c r="I624" s="671"/>
      <c r="J624" s="506"/>
      <c r="K624" s="507"/>
      <c r="L624" s="506"/>
      <c r="M624" s="507"/>
      <c r="N624" s="507"/>
      <c r="O624" s="507"/>
      <c r="P624" s="508"/>
      <c r="Q624" s="512"/>
      <c r="R624" s="513"/>
      <c r="S624" s="131"/>
      <c r="T624" s="599" t="str">
        <f t="shared" si="721"/>
        <v/>
      </c>
      <c r="U624" s="473"/>
      <c r="W624" s="471">
        <f t="shared" ref="W624:X624" si="749">W623</f>
        <v>24</v>
      </c>
      <c r="X624" s="471" t="e">
        <f t="shared" si="749"/>
        <v>#REF!</v>
      </c>
      <c r="Y624" s="471" t="e">
        <f t="shared" si="723"/>
        <v>#REF!</v>
      </c>
      <c r="Z624" s="471"/>
      <c r="AA624" s="471"/>
      <c r="AB624" s="473"/>
      <c r="AC624" s="473"/>
      <c r="AD624" s="473"/>
      <c r="AE624" s="473"/>
      <c r="AF624" s="473"/>
      <c r="AG624" s="473"/>
      <c r="AH624" s="473"/>
      <c r="AI624" s="473"/>
      <c r="AJ624" s="473"/>
      <c r="AK624" s="473"/>
      <c r="AL624" s="473"/>
      <c r="AM624" s="473"/>
      <c r="AN624" s="473"/>
    </row>
    <row r="625" spans="1:40" s="473" customFormat="1" ht="15.75" customHeight="1" x14ac:dyDescent="0.15">
      <c r="A625" s="599"/>
      <c r="B625" s="514"/>
      <c r="C625" s="515"/>
      <c r="D625" s="516"/>
      <c r="E625" s="517"/>
      <c r="F625" s="518"/>
      <c r="G625" s="557"/>
      <c r="H625" s="463" t="str">
        <f t="shared" si="740"/>
        <v/>
      </c>
      <c r="I625" s="520"/>
      <c r="J625" s="521"/>
      <c r="K625" s="522"/>
      <c r="L625" s="521"/>
      <c r="M625" s="522"/>
      <c r="N625" s="521"/>
      <c r="O625" s="522"/>
      <c r="P625" s="523"/>
      <c r="Q625" s="512"/>
      <c r="R625" s="513"/>
      <c r="S625" s="524"/>
      <c r="T625" s="599" t="str">
        <f t="shared" si="721"/>
        <v/>
      </c>
      <c r="U625" s="599"/>
      <c r="V625" s="599"/>
      <c r="W625" s="471">
        <f t="shared" ref="W625:X625" si="750">W624</f>
        <v>24</v>
      </c>
      <c r="X625" s="471" t="e">
        <f t="shared" si="750"/>
        <v>#REF!</v>
      </c>
      <c r="Y625" s="471" t="e">
        <f t="shared" si="723"/>
        <v>#REF!</v>
      </c>
      <c r="Z625" s="471"/>
      <c r="AA625" s="471"/>
      <c r="AB625" s="599"/>
      <c r="AC625" s="599"/>
      <c r="AD625" s="599"/>
      <c r="AE625" s="599"/>
      <c r="AF625" s="599"/>
      <c r="AG625" s="599"/>
      <c r="AH625" s="599"/>
      <c r="AI625" s="599"/>
      <c r="AJ625" s="599"/>
      <c r="AK625" s="599"/>
      <c r="AL625" s="599"/>
      <c r="AM625" s="599"/>
      <c r="AN625" s="599"/>
    </row>
    <row r="626" spans="1:40" s="599" customFormat="1" ht="15.75" customHeight="1" x14ac:dyDescent="0.15">
      <c r="A626" s="473"/>
      <c r="B626" s="473"/>
      <c r="C626" s="458"/>
      <c r="D626" s="459"/>
      <c r="E626" s="460"/>
      <c r="F626" s="461"/>
      <c r="G626" s="553"/>
      <c r="H626" s="740"/>
      <c r="I626" s="464"/>
      <c r="J626" s="465"/>
      <c r="K626" s="465"/>
      <c r="L626" s="465"/>
      <c r="M626" s="465"/>
      <c r="N626" s="465"/>
      <c r="O626" s="466"/>
      <c r="P626" s="467"/>
      <c r="Q626" s="468"/>
      <c r="R626" s="526"/>
      <c r="S626" s="467"/>
      <c r="W626" s="533">
        <f t="shared" ref="W626" si="751">I648</f>
        <v>25</v>
      </c>
      <c r="X626" s="533" t="e">
        <f t="shared" ref="X626" si="752">X625+1</f>
        <v>#REF!</v>
      </c>
      <c r="Y626" s="533" t="e">
        <f t="shared" si="723"/>
        <v>#REF!</v>
      </c>
      <c r="Z626" s="533"/>
      <c r="AA626" s="533"/>
    </row>
    <row r="627" spans="1:40" s="599" customFormat="1" ht="15.75" customHeight="1" x14ac:dyDescent="0.15">
      <c r="A627" s="473"/>
      <c r="B627" s="473"/>
      <c r="C627" s="458" t="str">
        <f>"   항목번호 : "&amp;목록!L$31</f>
        <v xml:space="preserve">   항목번호 : 제25호표</v>
      </c>
      <c r="D627" s="459">
        <f>목록!B$31</f>
        <v>25</v>
      </c>
      <c r="E627" s="460"/>
      <c r="F627" s="461"/>
      <c r="G627" s="553"/>
      <c r="H627" s="463" t="str">
        <f t="shared" ref="H627:H651" si="753">CONCATENATE(C627,E627,F627)</f>
        <v xml:space="preserve">   항목번호 : 제25호표</v>
      </c>
      <c r="I627" s="464"/>
      <c r="J627" s="465"/>
      <c r="K627" s="465"/>
      <c r="L627" s="465"/>
      <c r="M627" s="465"/>
      <c r="N627" s="465"/>
      <c r="O627" s="466"/>
      <c r="P627" s="467"/>
      <c r="Q627" s="468"/>
      <c r="R627" s="526"/>
      <c r="S627" s="467"/>
      <c r="T627" s="599" t="str">
        <f t="shared" ref="T627:T634" si="754">CONCATENATE(Q627,R627)</f>
        <v/>
      </c>
      <c r="W627" s="471">
        <f t="shared" ref="W627:X627" si="755">W626</f>
        <v>25</v>
      </c>
      <c r="X627" s="471" t="e">
        <f t="shared" si="755"/>
        <v>#REF!</v>
      </c>
      <c r="Y627" s="471" t="e">
        <f t="shared" si="723"/>
        <v>#REF!</v>
      </c>
      <c r="Z627" s="533"/>
      <c r="AA627" s="533"/>
    </row>
    <row r="628" spans="1:40" s="599" customFormat="1" ht="15.75" customHeight="1" x14ac:dyDescent="0.15">
      <c r="A628" s="473"/>
      <c r="B628" s="473"/>
      <c r="C628" s="739" t="str">
        <f>"   공      종 : "&amp;목록!D$31</f>
        <v xml:space="preserve">   공      종 : LED LINE 조명 설치</v>
      </c>
      <c r="D628" s="475"/>
      <c r="E628" s="476"/>
      <c r="F628" s="477"/>
      <c r="G628" s="554"/>
      <c r="H628" s="463" t="str">
        <f t="shared" si="753"/>
        <v xml:space="preserve">   공      종 : LED LINE 조명 설치</v>
      </c>
      <c r="I628" s="479"/>
      <c r="J628" s="488"/>
      <c r="K628" s="481"/>
      <c r="L628" s="482"/>
      <c r="M628" s="482"/>
      <c r="N628" s="482"/>
      <c r="O628" s="466"/>
      <c r="P628" s="483"/>
      <c r="Q628" s="654"/>
      <c r="R628" s="485"/>
      <c r="S628" s="483"/>
      <c r="T628" s="599" t="str">
        <f t="shared" si="754"/>
        <v/>
      </c>
      <c r="U628" s="473"/>
      <c r="W628" s="471">
        <f t="shared" ref="W628:X628" si="756">W627</f>
        <v>25</v>
      </c>
      <c r="X628" s="471" t="e">
        <f t="shared" si="756"/>
        <v>#REF!</v>
      </c>
      <c r="Y628" s="471" t="e">
        <f t="shared" si="723"/>
        <v>#REF!</v>
      </c>
      <c r="Z628" s="471"/>
      <c r="AA628" s="471"/>
      <c r="AB628" s="473"/>
      <c r="AC628" s="473"/>
      <c r="AD628" s="473"/>
      <c r="AE628" s="473"/>
      <c r="AF628" s="473"/>
      <c r="AG628" s="473"/>
      <c r="AH628" s="473"/>
      <c r="AI628" s="473"/>
      <c r="AJ628" s="473"/>
      <c r="AK628" s="473"/>
      <c r="AL628" s="473"/>
      <c r="AM628" s="473"/>
      <c r="AN628" s="473"/>
    </row>
    <row r="629" spans="1:40" s="473" customFormat="1" ht="15.75" customHeight="1" x14ac:dyDescent="0.15">
      <c r="C629" s="739" t="str">
        <f xml:space="preserve"> "   규      격 : "&amp;목록!F$31</f>
        <v xml:space="preserve">   규      격 : LED BAR 14.4W</v>
      </c>
      <c r="D629" s="654"/>
      <c r="E629" s="476"/>
      <c r="G629" s="554"/>
      <c r="H629" s="463" t="str">
        <f t="shared" si="753"/>
        <v xml:space="preserve">   규      격 : LED BAR 14.4W</v>
      </c>
      <c r="I629" s="479"/>
      <c r="J629" s="488" t="s">
        <v>348</v>
      </c>
      <c r="K629" s="481"/>
      <c r="L629" s="482" t="s">
        <v>349</v>
      </c>
      <c r="M629" s="482"/>
      <c r="N629" s="482" t="s">
        <v>240</v>
      </c>
      <c r="O629" s="466"/>
      <c r="P629" s="483"/>
      <c r="Q629" s="654" t="s">
        <v>883</v>
      </c>
      <c r="R629" s="485"/>
      <c r="S629" s="483"/>
      <c r="T629" s="599" t="str">
        <f t="shared" si="754"/>
        <v>합계</v>
      </c>
      <c r="V629" s="599"/>
      <c r="W629" s="471">
        <f t="shared" ref="W629:X629" si="757">W628</f>
        <v>25</v>
      </c>
      <c r="X629" s="471" t="e">
        <f t="shared" si="757"/>
        <v>#REF!</v>
      </c>
      <c r="Y629" s="471" t="e">
        <f t="shared" si="723"/>
        <v>#REF!</v>
      </c>
      <c r="Z629" s="471"/>
      <c r="AA629" s="471"/>
    </row>
    <row r="630" spans="1:40" s="473" customFormat="1" ht="15.75" customHeight="1" x14ac:dyDescent="0.15">
      <c r="C630" s="739" t="str">
        <f>"   단      위 : "&amp;목록!G$31</f>
        <v xml:space="preserve">   단      위 : m</v>
      </c>
      <c r="D630" s="654"/>
      <c r="E630" s="476"/>
      <c r="G630" s="554"/>
      <c r="H630" s="463" t="str">
        <f t="shared" si="753"/>
        <v xml:space="preserve">   단      위 : m</v>
      </c>
      <c r="I630" s="479"/>
      <c r="J630" s="488">
        <f>K648</f>
        <v>24000</v>
      </c>
      <c r="K630" s="481"/>
      <c r="L630" s="482">
        <f>M648</f>
        <v>22386</v>
      </c>
      <c r="M630" s="482"/>
      <c r="N630" s="482">
        <f>O648</f>
        <v>0</v>
      </c>
      <c r="O630" s="466"/>
      <c r="P630" s="483"/>
      <c r="Q630" s="654">
        <f>J630+L630+N630</f>
        <v>46386</v>
      </c>
      <c r="R630" s="654"/>
      <c r="S630" s="483"/>
      <c r="T630" s="599" t="str">
        <f t="shared" si="754"/>
        <v>46386</v>
      </c>
      <c r="V630" s="599"/>
      <c r="W630" s="471">
        <f t="shared" ref="W630:X630" si="758">W629</f>
        <v>25</v>
      </c>
      <c r="X630" s="471" t="e">
        <f t="shared" si="758"/>
        <v>#REF!</v>
      </c>
      <c r="Y630" s="471" t="e">
        <f t="shared" si="723"/>
        <v>#REF!</v>
      </c>
      <c r="Z630" s="471"/>
      <c r="AA630" s="471"/>
    </row>
    <row r="631" spans="1:40" s="473" customFormat="1" ht="15.75" customHeight="1" x14ac:dyDescent="0.15">
      <c r="C631" s="739"/>
      <c r="D631" s="654"/>
      <c r="E631" s="476"/>
      <c r="G631" s="554"/>
      <c r="H631" s="463" t="str">
        <f t="shared" si="753"/>
        <v/>
      </c>
      <c r="I631" s="479"/>
      <c r="J631" s="489"/>
      <c r="K631" s="481"/>
      <c r="L631" s="487"/>
      <c r="M631" s="482"/>
      <c r="N631" s="482"/>
      <c r="O631" s="466"/>
      <c r="P631" s="483"/>
      <c r="Q631" s="488"/>
      <c r="R631" s="489"/>
      <c r="S631" s="483"/>
      <c r="T631" s="599" t="str">
        <f t="shared" si="754"/>
        <v/>
      </c>
      <c r="V631" s="599"/>
      <c r="W631" s="471">
        <f t="shared" ref="W631:X631" si="759">W630</f>
        <v>25</v>
      </c>
      <c r="X631" s="471" t="e">
        <f t="shared" si="759"/>
        <v>#REF!</v>
      </c>
      <c r="Y631" s="471" t="e">
        <f t="shared" si="723"/>
        <v>#REF!</v>
      </c>
      <c r="Z631" s="471"/>
      <c r="AA631" s="471"/>
    </row>
    <row r="632" spans="1:40" s="473" customFormat="1" ht="15.75" customHeight="1" x14ac:dyDescent="0.15">
      <c r="B632" s="899" t="s">
        <v>375</v>
      </c>
      <c r="C632" s="900"/>
      <c r="D632" s="915" t="s">
        <v>356</v>
      </c>
      <c r="E632" s="908"/>
      <c r="F632" s="903" t="s">
        <v>884</v>
      </c>
      <c r="G632" s="911" t="s">
        <v>885</v>
      </c>
      <c r="H632" s="463" t="str">
        <f t="shared" si="753"/>
        <v>단위</v>
      </c>
      <c r="I632" s="623"/>
      <c r="J632" s="738" t="s">
        <v>348</v>
      </c>
      <c r="K632" s="1"/>
      <c r="L632" s="738" t="s">
        <v>349</v>
      </c>
      <c r="M632" s="1"/>
      <c r="N632" s="501" t="s">
        <v>240</v>
      </c>
      <c r="O632" s="501"/>
      <c r="P632" s="498"/>
      <c r="Q632" s="744" t="s">
        <v>355</v>
      </c>
      <c r="R632" s="744"/>
      <c r="S632" s="499"/>
      <c r="T632" s="599" t="str">
        <f t="shared" si="754"/>
        <v>비  고</v>
      </c>
      <c r="V632" s="599"/>
      <c r="W632" s="471">
        <f t="shared" ref="W632:X632" si="760">W631</f>
        <v>25</v>
      </c>
      <c r="X632" s="471" t="e">
        <f t="shared" si="760"/>
        <v>#REF!</v>
      </c>
      <c r="Y632" s="471" t="e">
        <f t="shared" si="723"/>
        <v>#REF!</v>
      </c>
      <c r="Z632" s="471"/>
      <c r="AA632" s="471"/>
    </row>
    <row r="633" spans="1:40" s="473" customFormat="1" ht="15.75" customHeight="1" x14ac:dyDescent="0.15">
      <c r="A633" s="599"/>
      <c r="B633" s="901"/>
      <c r="C633" s="902"/>
      <c r="D633" s="916"/>
      <c r="E633" s="910"/>
      <c r="F633" s="904"/>
      <c r="G633" s="912"/>
      <c r="H633" s="463" t="str">
        <f t="shared" si="753"/>
        <v/>
      </c>
      <c r="I633" s="624"/>
      <c r="J633" s="501" t="s">
        <v>353</v>
      </c>
      <c r="K633" s="501" t="s">
        <v>354</v>
      </c>
      <c r="L633" s="501" t="s">
        <v>353</v>
      </c>
      <c r="M633" s="738" t="s">
        <v>354</v>
      </c>
      <c r="N633" s="501" t="s">
        <v>353</v>
      </c>
      <c r="O633" s="501" t="s">
        <v>354</v>
      </c>
      <c r="P633" s="503"/>
      <c r="Q633" s="745"/>
      <c r="R633" s="745"/>
      <c r="S633" s="504"/>
      <c r="T633" s="599" t="str">
        <f t="shared" si="754"/>
        <v/>
      </c>
      <c r="V633" s="599"/>
      <c r="W633" s="471">
        <f t="shared" ref="W633:X635" si="761">W632</f>
        <v>25</v>
      </c>
      <c r="X633" s="471" t="e">
        <f t="shared" si="761"/>
        <v>#REF!</v>
      </c>
      <c r="Y633" s="471" t="e">
        <f t="shared" si="723"/>
        <v>#REF!</v>
      </c>
      <c r="Z633" s="471"/>
      <c r="AA633" s="471"/>
    </row>
    <row r="634" spans="1:40" s="599" customFormat="1" ht="15.75" customHeight="1" x14ac:dyDescent="0.15">
      <c r="B634" s="670"/>
      <c r="C634" s="204" t="s">
        <v>1261</v>
      </c>
      <c r="D634" s="213"/>
      <c r="E634" s="602" t="s">
        <v>1263</v>
      </c>
      <c r="F634" s="207" t="s">
        <v>888</v>
      </c>
      <c r="G634" s="505">
        <v>1</v>
      </c>
      <c r="H634" s="463" t="str">
        <f t="shared" ref="H634" si="762">CONCATENATE(C634,E634,F634)</f>
        <v>LED BAR 조명14.4W, 1M기준M</v>
      </c>
      <c r="I634" s="671" t="str">
        <f>CONCATENATE(C634,E634,F634)</f>
        <v>LED BAR 조명14.4W, 1M기준M</v>
      </c>
      <c r="J634" s="506">
        <f>IF(OR($F634="인",$F634=""),"",VLOOKUP($H634,단가!$A:$S,19,FALSE))</f>
        <v>24000</v>
      </c>
      <c r="K634" s="507">
        <f>IF(J634="","",TRUNC($G634*J634,0))</f>
        <v>24000</v>
      </c>
      <c r="L634" s="506" t="str">
        <f>IF($F634="인",VLOOKUP($C:$C,노임!$C:$G,4,FALSE),"")</f>
        <v/>
      </c>
      <c r="M634" s="507" t="str">
        <f>IF(L634="","",TRUNC($G634*L634,0))</f>
        <v/>
      </c>
      <c r="N634" s="507"/>
      <c r="O634" s="507" t="str">
        <f>IF(N634="","",TRUNC($G634*N634,0))</f>
        <v/>
      </c>
      <c r="P634" s="508"/>
      <c r="Q634" s="509" t="str">
        <f>IF(F634="인","노임"&amp;VLOOKUP($C:$C,노임!C:G,5,FALSE)&amp;"번","단가"&amp;VLOOKUP($H:$H,단가!$A:$B,2,FALSE)&amp;"번")</f>
        <v>단가93번</v>
      </c>
      <c r="R634" s="510"/>
      <c r="S634" s="131"/>
      <c r="T634" s="599" t="str">
        <f t="shared" si="754"/>
        <v>단가93번</v>
      </c>
      <c r="W634" s="471">
        <f t="shared" si="761"/>
        <v>25</v>
      </c>
      <c r="X634" s="471" t="e">
        <f t="shared" si="761"/>
        <v>#REF!</v>
      </c>
      <c r="Y634" s="471" t="e">
        <f t="shared" ref="Y634" si="763">X634-W634</f>
        <v>#REF!</v>
      </c>
      <c r="Z634" s="471"/>
      <c r="AA634" s="471"/>
    </row>
    <row r="635" spans="1:40" s="599" customFormat="1" ht="15.75" customHeight="1" x14ac:dyDescent="0.15">
      <c r="B635" s="670"/>
      <c r="C635" s="204" t="s">
        <v>1264</v>
      </c>
      <c r="D635" s="213"/>
      <c r="E635" s="602"/>
      <c r="F635" s="207" t="s">
        <v>1189</v>
      </c>
      <c r="G635" s="505">
        <v>0.11700000000000001</v>
      </c>
      <c r="H635" s="463" t="str">
        <f t="shared" ref="H635:H637" si="764">CONCATENATE(C635,E635,F635)</f>
        <v>내선전공인</v>
      </c>
      <c r="I635" s="671" t="str">
        <f>CONCATENATE(C635,E635,F635)</f>
        <v>내선전공인</v>
      </c>
      <c r="J635" s="506" t="str">
        <f>IF(OR($F635="인",$F635=""),"",VLOOKUP($H635,단가!$A:$S,19,FALSE))</f>
        <v/>
      </c>
      <c r="K635" s="507" t="str">
        <f>IF(J635="","",TRUNC($G635*J635,0))</f>
        <v/>
      </c>
      <c r="L635" s="506">
        <f>IF($F635="인",VLOOKUP($C:$C,노임!$C:$G,4,FALSE),"")</f>
        <v>191336</v>
      </c>
      <c r="M635" s="507">
        <f>IF(L635="","",TRUNC($G635*L635,0))</f>
        <v>22386</v>
      </c>
      <c r="N635" s="507"/>
      <c r="O635" s="507" t="str">
        <f>IF(N635="","",TRUNC($G635*N635,0))</f>
        <v/>
      </c>
      <c r="P635" s="508"/>
      <c r="Q635" s="509" t="str">
        <f>IF(F635="인","노임"&amp;VLOOKUP($C:$C,노임!C:G,5,FALSE)&amp;"번","단가"&amp;VLOOKUP($H:$H,단가!$A:$B,2,FALSE)&amp;"번")</f>
        <v>노임1075번</v>
      </c>
      <c r="R635" s="510"/>
      <c r="S635" s="131"/>
      <c r="T635" s="599" t="str">
        <f t="shared" ref="T635:T637" si="765">CONCATENATE(Q635,R635)</f>
        <v>노임1075번</v>
      </c>
      <c r="W635" s="471">
        <f t="shared" si="761"/>
        <v>25</v>
      </c>
      <c r="X635" s="471" t="e">
        <f t="shared" si="761"/>
        <v>#REF!</v>
      </c>
      <c r="Y635" s="471" t="e">
        <f t="shared" ref="Y635:Y637" si="766">X635-W635</f>
        <v>#REF!</v>
      </c>
      <c r="Z635" s="471"/>
      <c r="AA635" s="471"/>
    </row>
    <row r="636" spans="1:40" s="599" customFormat="1" ht="15.75" customHeight="1" x14ac:dyDescent="0.15">
      <c r="B636" s="670"/>
      <c r="C636" s="140"/>
      <c r="D636" s="670"/>
      <c r="E636" s="643"/>
      <c r="F636" s="207"/>
      <c r="G636" s="556"/>
      <c r="H636" s="463" t="str">
        <f t="shared" si="764"/>
        <v/>
      </c>
      <c r="I636" s="671"/>
      <c r="J636" s="506"/>
      <c r="K636" s="507"/>
      <c r="L636" s="506"/>
      <c r="M636" s="507"/>
      <c r="N636" s="507"/>
      <c r="O636" s="507"/>
      <c r="P636" s="508"/>
      <c r="Q636" s="512"/>
      <c r="R636" s="534"/>
      <c r="S636" s="131"/>
      <c r="T636" s="599" t="str">
        <f t="shared" si="765"/>
        <v/>
      </c>
      <c r="W636" s="471">
        <f t="shared" ref="W636:X636" si="767">W635</f>
        <v>25</v>
      </c>
      <c r="X636" s="471" t="e">
        <f t="shared" si="767"/>
        <v>#REF!</v>
      </c>
      <c r="Y636" s="471" t="e">
        <f t="shared" si="766"/>
        <v>#REF!</v>
      </c>
      <c r="Z636" s="471"/>
      <c r="AA636" s="471"/>
    </row>
    <row r="637" spans="1:40" s="599" customFormat="1" ht="15.75" customHeight="1" x14ac:dyDescent="0.15">
      <c r="B637" s="670"/>
      <c r="C637" s="140"/>
      <c r="D637" s="670"/>
      <c r="E637" s="643"/>
      <c r="F637" s="207"/>
      <c r="G637" s="556"/>
      <c r="H637" s="463" t="str">
        <f t="shared" si="764"/>
        <v/>
      </c>
      <c r="I637" s="671"/>
      <c r="J637" s="506"/>
      <c r="K637" s="507"/>
      <c r="L637" s="506"/>
      <c r="M637" s="507"/>
      <c r="N637" s="507"/>
      <c r="O637" s="507"/>
      <c r="P637" s="508"/>
      <c r="Q637" s="512"/>
      <c r="R637" s="534"/>
      <c r="S637" s="131"/>
      <c r="T637" s="599" t="str">
        <f t="shared" si="765"/>
        <v/>
      </c>
      <c r="W637" s="471">
        <f t="shared" ref="W637:X637" si="768">W636</f>
        <v>25</v>
      </c>
      <c r="X637" s="471" t="e">
        <f t="shared" si="768"/>
        <v>#REF!</v>
      </c>
      <c r="Y637" s="471" t="e">
        <f t="shared" si="766"/>
        <v>#REF!</v>
      </c>
      <c r="Z637" s="471"/>
      <c r="AA637" s="471"/>
    </row>
    <row r="638" spans="1:40" s="599" customFormat="1" ht="15.75" customHeight="1" x14ac:dyDescent="0.15">
      <c r="B638" s="670"/>
      <c r="C638" s="140"/>
      <c r="D638" s="670"/>
      <c r="E638" s="643"/>
      <c r="F638" s="207"/>
      <c r="G638" s="556"/>
      <c r="H638" s="463" t="str">
        <f t="shared" si="753"/>
        <v/>
      </c>
      <c r="I638" s="671"/>
      <c r="J638" s="506"/>
      <c r="K638" s="507"/>
      <c r="L638" s="506"/>
      <c r="M638" s="507"/>
      <c r="N638" s="507"/>
      <c r="O638" s="507"/>
      <c r="P638" s="508"/>
      <c r="Q638" s="512"/>
      <c r="R638" s="534"/>
      <c r="S638" s="131"/>
      <c r="T638" s="599" t="str">
        <f t="shared" ref="T638:T651" si="769">CONCATENATE(Q638,R638)</f>
        <v/>
      </c>
      <c r="W638" s="471">
        <f t="shared" ref="W638:X638" si="770">W637</f>
        <v>25</v>
      </c>
      <c r="X638" s="471" t="e">
        <f t="shared" si="770"/>
        <v>#REF!</v>
      </c>
      <c r="Y638" s="471" t="e">
        <f t="shared" si="723"/>
        <v>#REF!</v>
      </c>
      <c r="Z638" s="471"/>
      <c r="AA638" s="471"/>
    </row>
    <row r="639" spans="1:40" s="599" customFormat="1" ht="15.75" customHeight="1" x14ac:dyDescent="0.15">
      <c r="B639" s="670"/>
      <c r="C639" s="140"/>
      <c r="D639" s="670"/>
      <c r="E639" s="643"/>
      <c r="F639" s="207"/>
      <c r="G639" s="556"/>
      <c r="H639" s="463" t="str">
        <f t="shared" si="753"/>
        <v/>
      </c>
      <c r="I639" s="671"/>
      <c r="J639" s="506"/>
      <c r="K639" s="507"/>
      <c r="L639" s="506"/>
      <c r="M639" s="507"/>
      <c r="N639" s="507"/>
      <c r="O639" s="507"/>
      <c r="P639" s="508"/>
      <c r="Q639" s="512"/>
      <c r="R639" s="534"/>
      <c r="S639" s="131"/>
      <c r="T639" s="599" t="str">
        <f t="shared" si="769"/>
        <v/>
      </c>
      <c r="W639" s="471">
        <f t="shared" ref="W639:X639" si="771">W638</f>
        <v>25</v>
      </c>
      <c r="X639" s="471" t="e">
        <f t="shared" si="771"/>
        <v>#REF!</v>
      </c>
      <c r="Y639" s="471" t="e">
        <f t="shared" si="723"/>
        <v>#REF!</v>
      </c>
      <c r="Z639" s="471"/>
      <c r="AA639" s="471"/>
    </row>
    <row r="640" spans="1:40" s="599" customFormat="1" ht="15.75" customHeight="1" x14ac:dyDescent="0.15">
      <c r="B640" s="670"/>
      <c r="C640" s="140"/>
      <c r="D640" s="670"/>
      <c r="E640" s="643"/>
      <c r="F640" s="207"/>
      <c r="G640" s="556"/>
      <c r="H640" s="463" t="str">
        <f t="shared" si="753"/>
        <v/>
      </c>
      <c r="I640" s="671"/>
      <c r="J640" s="506"/>
      <c r="K640" s="507"/>
      <c r="L640" s="506"/>
      <c r="M640" s="507"/>
      <c r="N640" s="507"/>
      <c r="O640" s="507"/>
      <c r="P640" s="508"/>
      <c r="Q640" s="512"/>
      <c r="R640" s="513"/>
      <c r="S640" s="131"/>
      <c r="T640" s="599" t="str">
        <f t="shared" si="769"/>
        <v/>
      </c>
      <c r="W640" s="471">
        <f t="shared" ref="W640:X640" si="772">W639</f>
        <v>25</v>
      </c>
      <c r="X640" s="471" t="e">
        <f t="shared" si="772"/>
        <v>#REF!</v>
      </c>
      <c r="Y640" s="471" t="e">
        <f t="shared" si="723"/>
        <v>#REF!</v>
      </c>
      <c r="Z640" s="471"/>
      <c r="AA640" s="471"/>
    </row>
    <row r="641" spans="1:40" s="599" customFormat="1" ht="15.75" customHeight="1" x14ac:dyDescent="0.15">
      <c r="B641" s="670"/>
      <c r="C641" s="140"/>
      <c r="D641" s="670"/>
      <c r="E641" s="643"/>
      <c r="F641" s="207"/>
      <c r="G641" s="556"/>
      <c r="H641" s="463" t="str">
        <f t="shared" si="753"/>
        <v/>
      </c>
      <c r="I641" s="671"/>
      <c r="J641" s="506"/>
      <c r="K641" s="507"/>
      <c r="L641" s="506"/>
      <c r="M641" s="507"/>
      <c r="N641" s="507"/>
      <c r="O641" s="507"/>
      <c r="P641" s="508"/>
      <c r="Q641" s="512"/>
      <c r="R641" s="534"/>
      <c r="S641" s="131"/>
      <c r="T641" s="599" t="str">
        <f t="shared" si="769"/>
        <v/>
      </c>
      <c r="W641" s="471">
        <f t="shared" ref="W641:X641" si="773">W640</f>
        <v>25</v>
      </c>
      <c r="X641" s="471" t="e">
        <f t="shared" si="773"/>
        <v>#REF!</v>
      </c>
      <c r="Y641" s="471" t="e">
        <f t="shared" ref="Y641:Y651" si="774">X641-W641</f>
        <v>#REF!</v>
      </c>
      <c r="Z641" s="471"/>
      <c r="AA641" s="471"/>
    </row>
    <row r="642" spans="1:40" s="599" customFormat="1" ht="15.75" customHeight="1" x14ac:dyDescent="0.15">
      <c r="B642" s="670"/>
      <c r="C642" s="140"/>
      <c r="D642" s="670"/>
      <c r="E642" s="643"/>
      <c r="F642" s="207"/>
      <c r="G642" s="556"/>
      <c r="H642" s="463" t="str">
        <f t="shared" si="753"/>
        <v/>
      </c>
      <c r="I642" s="671"/>
      <c r="J642" s="506"/>
      <c r="K642" s="507"/>
      <c r="L642" s="506"/>
      <c r="M642" s="507"/>
      <c r="N642" s="507"/>
      <c r="O642" s="507"/>
      <c r="P642" s="508"/>
      <c r="Q642" s="512"/>
      <c r="R642" s="513"/>
      <c r="S642" s="131"/>
      <c r="T642" s="599" t="str">
        <f t="shared" si="769"/>
        <v/>
      </c>
      <c r="W642" s="471">
        <f t="shared" ref="W642:X642" si="775">W641</f>
        <v>25</v>
      </c>
      <c r="X642" s="471" t="e">
        <f t="shared" si="775"/>
        <v>#REF!</v>
      </c>
      <c r="Y642" s="471" t="e">
        <f t="shared" si="774"/>
        <v>#REF!</v>
      </c>
      <c r="Z642" s="471"/>
      <c r="AA642" s="471"/>
    </row>
    <row r="643" spans="1:40" s="599" customFormat="1" ht="15.75" customHeight="1" x14ac:dyDescent="0.15">
      <c r="B643" s="670"/>
      <c r="C643" s="140"/>
      <c r="D643" s="670"/>
      <c r="E643" s="643"/>
      <c r="F643" s="207"/>
      <c r="G643" s="556"/>
      <c r="H643" s="463" t="str">
        <f t="shared" si="753"/>
        <v/>
      </c>
      <c r="I643" s="671"/>
      <c r="J643" s="506"/>
      <c r="K643" s="507"/>
      <c r="L643" s="506"/>
      <c r="M643" s="507"/>
      <c r="N643" s="507"/>
      <c r="O643" s="507"/>
      <c r="P643" s="508"/>
      <c r="Q643" s="512"/>
      <c r="R643" s="513"/>
      <c r="S643" s="131"/>
      <c r="T643" s="599" t="str">
        <f t="shared" si="769"/>
        <v/>
      </c>
      <c r="W643" s="471">
        <f t="shared" ref="W643:X643" si="776">W642</f>
        <v>25</v>
      </c>
      <c r="X643" s="471" t="e">
        <f t="shared" si="776"/>
        <v>#REF!</v>
      </c>
      <c r="Y643" s="471" t="e">
        <f t="shared" si="774"/>
        <v>#REF!</v>
      </c>
      <c r="Z643" s="471"/>
      <c r="AA643" s="471"/>
    </row>
    <row r="644" spans="1:40" s="599" customFormat="1" ht="15.75" customHeight="1" x14ac:dyDescent="0.15">
      <c r="B644" s="670"/>
      <c r="C644" s="140"/>
      <c r="D644" s="670"/>
      <c r="E644" s="643"/>
      <c r="F644" s="207"/>
      <c r="G644" s="556"/>
      <c r="H644" s="463" t="str">
        <f t="shared" si="753"/>
        <v/>
      </c>
      <c r="I644" s="671"/>
      <c r="J644" s="506"/>
      <c r="K644" s="507"/>
      <c r="L644" s="506"/>
      <c r="M644" s="507"/>
      <c r="N644" s="507"/>
      <c r="O644" s="507"/>
      <c r="P644" s="508"/>
      <c r="Q644" s="512"/>
      <c r="R644" s="513"/>
      <c r="S644" s="131"/>
      <c r="T644" s="599" t="str">
        <f t="shared" si="769"/>
        <v/>
      </c>
      <c r="W644" s="471">
        <f t="shared" ref="W644:X644" si="777">W643</f>
        <v>25</v>
      </c>
      <c r="X644" s="471" t="e">
        <f t="shared" si="777"/>
        <v>#REF!</v>
      </c>
      <c r="Y644" s="471" t="e">
        <f t="shared" si="774"/>
        <v>#REF!</v>
      </c>
      <c r="Z644" s="471"/>
      <c r="AA644" s="471"/>
    </row>
    <row r="645" spans="1:40" s="599" customFormat="1" ht="15.75" customHeight="1" x14ac:dyDescent="0.15">
      <c r="B645" s="670"/>
      <c r="C645" s="630"/>
      <c r="D645" s="670"/>
      <c r="E645" s="643"/>
      <c r="F645" s="207"/>
      <c r="G645" s="556"/>
      <c r="H645" s="463" t="str">
        <f t="shared" si="753"/>
        <v/>
      </c>
      <c r="I645" s="671"/>
      <c r="J645" s="506"/>
      <c r="K645" s="507"/>
      <c r="L645" s="506"/>
      <c r="M645" s="507"/>
      <c r="N645" s="507"/>
      <c r="O645" s="507"/>
      <c r="P645" s="508"/>
      <c r="Q645" s="512"/>
      <c r="R645" s="513"/>
      <c r="S645" s="131"/>
      <c r="T645" s="599" t="str">
        <f t="shared" si="769"/>
        <v/>
      </c>
      <c r="W645" s="471">
        <f t="shared" ref="W645:X645" si="778">W644</f>
        <v>25</v>
      </c>
      <c r="X645" s="471" t="e">
        <f t="shared" si="778"/>
        <v>#REF!</v>
      </c>
      <c r="Y645" s="471" t="e">
        <f t="shared" si="774"/>
        <v>#REF!</v>
      </c>
      <c r="Z645" s="471"/>
      <c r="AA645" s="471"/>
    </row>
    <row r="646" spans="1:40" s="599" customFormat="1" ht="15.75" customHeight="1" x14ac:dyDescent="0.15">
      <c r="B646" s="670"/>
      <c r="C646" s="630"/>
      <c r="D646" s="670"/>
      <c r="E646" s="643"/>
      <c r="F646" s="207"/>
      <c r="G646" s="556"/>
      <c r="H646" s="463" t="str">
        <f t="shared" si="753"/>
        <v/>
      </c>
      <c r="I646" s="671"/>
      <c r="J646" s="506"/>
      <c r="K646" s="507"/>
      <c r="L646" s="506"/>
      <c r="M646" s="507"/>
      <c r="N646" s="507"/>
      <c r="O646" s="507"/>
      <c r="P646" s="508"/>
      <c r="Q646" s="512"/>
      <c r="R646" s="513"/>
      <c r="S646" s="131"/>
      <c r="T646" s="599" t="str">
        <f t="shared" si="769"/>
        <v/>
      </c>
      <c r="W646" s="471">
        <f t="shared" ref="W646:X646" si="779">W645</f>
        <v>25</v>
      </c>
      <c r="X646" s="471" t="e">
        <f t="shared" si="779"/>
        <v>#REF!</v>
      </c>
      <c r="Y646" s="471" t="e">
        <f t="shared" si="774"/>
        <v>#REF!</v>
      </c>
      <c r="Z646" s="471"/>
      <c r="AA646" s="471"/>
    </row>
    <row r="647" spans="1:40" s="599" customFormat="1" ht="15.75" customHeight="1" x14ac:dyDescent="0.15">
      <c r="B647" s="670"/>
      <c r="C647" s="140"/>
      <c r="D647" s="670"/>
      <c r="E647" s="643"/>
      <c r="F647" s="207"/>
      <c r="G647" s="556"/>
      <c r="H647" s="463" t="str">
        <f t="shared" si="753"/>
        <v/>
      </c>
      <c r="I647" s="671"/>
      <c r="J647" s="506"/>
      <c r="K647" s="507"/>
      <c r="L647" s="506"/>
      <c r="M647" s="507"/>
      <c r="N647" s="507"/>
      <c r="O647" s="507"/>
      <c r="P647" s="508"/>
      <c r="Q647" s="512"/>
      <c r="R647" s="513"/>
      <c r="S647" s="131"/>
      <c r="T647" s="599" t="str">
        <f t="shared" si="769"/>
        <v/>
      </c>
      <c r="W647" s="471">
        <f t="shared" ref="W647:X647" si="780">W646</f>
        <v>25</v>
      </c>
      <c r="X647" s="471" t="e">
        <f t="shared" si="780"/>
        <v>#REF!</v>
      </c>
      <c r="Y647" s="471" t="e">
        <f t="shared" si="774"/>
        <v>#REF!</v>
      </c>
      <c r="Z647" s="471"/>
      <c r="AA647" s="471"/>
    </row>
    <row r="648" spans="1:40" s="599" customFormat="1" ht="15.75" customHeight="1" x14ac:dyDescent="0.15">
      <c r="B648" s="514" t="s">
        <v>1110</v>
      </c>
      <c r="C648" s="515"/>
      <c r="D648" s="516"/>
      <c r="E648" s="517"/>
      <c r="F648" s="518"/>
      <c r="G648" s="557"/>
      <c r="H648" s="463" t="str">
        <f t="shared" si="753"/>
        <v/>
      </c>
      <c r="I648" s="520">
        <f>목록!$B$31</f>
        <v>25</v>
      </c>
      <c r="J648" s="521"/>
      <c r="K648" s="522">
        <f>SUM(K634:K647)</f>
        <v>24000</v>
      </c>
      <c r="L648" s="521"/>
      <c r="M648" s="522">
        <f>SUM(M634:M647)</f>
        <v>22386</v>
      </c>
      <c r="N648" s="521"/>
      <c r="O648" s="522">
        <f>SUM(O634:O647)</f>
        <v>0</v>
      </c>
      <c r="P648" s="523"/>
      <c r="Q648" s="512"/>
      <c r="R648" s="513"/>
      <c r="S648" s="524"/>
      <c r="T648" s="599" t="str">
        <f t="shared" si="769"/>
        <v/>
      </c>
      <c r="W648" s="471">
        <f t="shared" ref="W648:X648" si="781">W647</f>
        <v>25</v>
      </c>
      <c r="X648" s="471" t="e">
        <f t="shared" si="781"/>
        <v>#REF!</v>
      </c>
      <c r="Y648" s="471" t="e">
        <f t="shared" si="774"/>
        <v>#REF!</v>
      </c>
      <c r="Z648" s="471"/>
      <c r="AA648" s="471"/>
    </row>
    <row r="649" spans="1:40" s="599" customFormat="1" ht="15.75" customHeight="1" x14ac:dyDescent="0.15">
      <c r="A649" s="473"/>
      <c r="B649" s="453"/>
      <c r="C649" s="630" t="s">
        <v>1265</v>
      </c>
      <c r="D649" s="670"/>
      <c r="E649" s="643"/>
      <c r="F649" s="207"/>
      <c r="G649" s="556"/>
      <c r="H649" s="463" t="str">
        <f t="shared" si="753"/>
        <v>※ 전기품셈 5-25-2 LED 등기구 설치, 직부등 15W 이하 기준</v>
      </c>
      <c r="I649" s="671"/>
      <c r="J649" s="506"/>
      <c r="K649" s="507"/>
      <c r="L649" s="506"/>
      <c r="M649" s="507"/>
      <c r="N649" s="507"/>
      <c r="O649" s="507"/>
      <c r="P649" s="508"/>
      <c r="Q649" s="512"/>
      <c r="R649" s="513"/>
      <c r="S649" s="131"/>
      <c r="T649" s="599" t="str">
        <f t="shared" si="769"/>
        <v/>
      </c>
      <c r="W649" s="615">
        <f t="shared" ref="W649:X649" si="782">W648</f>
        <v>25</v>
      </c>
      <c r="X649" s="471" t="e">
        <f t="shared" si="782"/>
        <v>#REF!</v>
      </c>
      <c r="Y649" s="471" t="e">
        <f t="shared" si="774"/>
        <v>#REF!</v>
      </c>
      <c r="Z649" s="471"/>
      <c r="AA649" s="471"/>
    </row>
    <row r="650" spans="1:40" s="599" customFormat="1" ht="15.75" customHeight="1" x14ac:dyDescent="0.15">
      <c r="B650" s="453"/>
      <c r="C650" s="630"/>
      <c r="D650" s="670"/>
      <c r="E650" s="643"/>
      <c r="F650" s="207"/>
      <c r="G650" s="556"/>
      <c r="H650" s="463" t="str">
        <f t="shared" si="753"/>
        <v/>
      </c>
      <c r="I650" s="671"/>
      <c r="J650" s="506"/>
      <c r="K650" s="507"/>
      <c r="L650" s="506"/>
      <c r="M650" s="507"/>
      <c r="N650" s="507"/>
      <c r="O650" s="507"/>
      <c r="P650" s="508"/>
      <c r="Q650" s="512"/>
      <c r="R650" s="513"/>
      <c r="S650" s="131"/>
      <c r="T650" s="599" t="str">
        <f t="shared" si="769"/>
        <v/>
      </c>
      <c r="U650" s="473"/>
      <c r="W650" s="471">
        <f t="shared" ref="W650:X650" si="783">W649</f>
        <v>25</v>
      </c>
      <c r="X650" s="471" t="e">
        <f t="shared" si="783"/>
        <v>#REF!</v>
      </c>
      <c r="Y650" s="471" t="e">
        <f t="shared" si="774"/>
        <v>#REF!</v>
      </c>
      <c r="Z650" s="471"/>
      <c r="AA650" s="471"/>
      <c r="AB650" s="473"/>
      <c r="AC650" s="473"/>
      <c r="AD650" s="473"/>
      <c r="AE650" s="473"/>
      <c r="AF650" s="473"/>
      <c r="AG650" s="473"/>
      <c r="AH650" s="473"/>
      <c r="AI650" s="473"/>
      <c r="AJ650" s="473"/>
      <c r="AK650" s="473"/>
      <c r="AL650" s="473"/>
      <c r="AM650" s="473"/>
      <c r="AN650" s="473"/>
    </row>
    <row r="651" spans="1:40" s="473" customFormat="1" ht="15.75" customHeight="1" x14ac:dyDescent="0.15">
      <c r="A651" s="599"/>
      <c r="B651" s="560"/>
      <c r="C651" s="552"/>
      <c r="D651" s="516"/>
      <c r="E651" s="517"/>
      <c r="F651" s="518"/>
      <c r="G651" s="557"/>
      <c r="H651" s="463" t="str">
        <f t="shared" si="753"/>
        <v/>
      </c>
      <c r="I651" s="520"/>
      <c r="J651" s="521"/>
      <c r="K651" s="522"/>
      <c r="L651" s="521"/>
      <c r="M651" s="522"/>
      <c r="N651" s="521"/>
      <c r="O651" s="522"/>
      <c r="P651" s="523"/>
      <c r="Q651" s="512"/>
      <c r="R651" s="513"/>
      <c r="S651" s="524"/>
      <c r="T651" s="599" t="str">
        <f t="shared" si="769"/>
        <v/>
      </c>
      <c r="U651" s="599"/>
      <c r="V651" s="599"/>
      <c r="W651" s="471">
        <f t="shared" ref="W651:X651" si="784">W650</f>
        <v>25</v>
      </c>
      <c r="X651" s="471" t="e">
        <f t="shared" si="784"/>
        <v>#REF!</v>
      </c>
      <c r="Y651" s="471" t="e">
        <f t="shared" si="774"/>
        <v>#REF!</v>
      </c>
      <c r="Z651" s="471"/>
      <c r="AA651" s="471"/>
      <c r="AB651" s="599"/>
      <c r="AC651" s="599"/>
      <c r="AD651" s="599"/>
      <c r="AE651" s="599"/>
      <c r="AF651" s="599"/>
      <c r="AG651" s="599"/>
      <c r="AH651" s="599"/>
      <c r="AI651" s="599"/>
      <c r="AJ651" s="599"/>
      <c r="AK651" s="599"/>
      <c r="AL651" s="599"/>
      <c r="AM651" s="599"/>
      <c r="AN651" s="599"/>
    </row>
    <row r="652" spans="1:40" s="470" customFormat="1" ht="15.75" customHeight="1" x14ac:dyDescent="0.15">
      <c r="A652" s="457"/>
      <c r="B652" s="457"/>
      <c r="C652" s="458"/>
      <c r="D652" s="459"/>
      <c r="E652" s="460"/>
      <c r="F652" s="461"/>
      <c r="G652" s="462"/>
      <c r="H652" s="463" t="str">
        <f t="shared" ref="H652:H660" si="785">CONCATENATE(C652,E652,F652)</f>
        <v/>
      </c>
      <c r="I652" s="464"/>
      <c r="J652" s="465"/>
      <c r="K652" s="465"/>
      <c r="L652" s="465"/>
      <c r="M652" s="465"/>
      <c r="N652" s="465"/>
      <c r="O652" s="466"/>
      <c r="P652" s="467"/>
      <c r="Q652" s="468"/>
      <c r="R652" s="469"/>
      <c r="S652" s="467"/>
      <c r="T652" s="470" t="str">
        <f t="shared" ref="T652:T677" si="786">CONCATENATE(Q652,R652)</f>
        <v/>
      </c>
      <c r="V652" s="443"/>
      <c r="W652" s="533">
        <f t="shared" ref="W652" si="787">I674</f>
        <v>26</v>
      </c>
      <c r="X652" s="533" t="e">
        <f>#REF!+1</f>
        <v>#REF!</v>
      </c>
      <c r="Y652" s="533" t="e">
        <f t="shared" ref="Y652:Y677" si="788">X652-W652</f>
        <v>#REF!</v>
      </c>
      <c r="Z652" s="533"/>
      <c r="AA652" s="533"/>
    </row>
    <row r="653" spans="1:40" s="470" customFormat="1" ht="15.75" customHeight="1" x14ac:dyDescent="0.15">
      <c r="A653" s="457"/>
      <c r="B653" s="473"/>
      <c r="C653" s="474" t="str">
        <f>"   항목번호 : "&amp;목록!L$32</f>
        <v xml:space="preserve">   항목번호 : 제26호표</v>
      </c>
      <c r="D653" s="475">
        <f>목록!B$32</f>
        <v>26</v>
      </c>
      <c r="E653" s="476"/>
      <c r="F653" s="477"/>
      <c r="G653" s="478"/>
      <c r="H653" s="463" t="str">
        <f t="shared" si="785"/>
        <v xml:space="preserve">   항목번호 : 제26호표</v>
      </c>
      <c r="I653" s="479"/>
      <c r="J653" s="480"/>
      <c r="K653" s="481"/>
      <c r="L653" s="482"/>
      <c r="M653" s="482"/>
      <c r="N653" s="482"/>
      <c r="O653" s="466"/>
      <c r="P653" s="483"/>
      <c r="Q653" s="484"/>
      <c r="R653" s="485"/>
      <c r="S653" s="483"/>
      <c r="T653" s="470" t="str">
        <f t="shared" si="786"/>
        <v/>
      </c>
      <c r="U653" s="457"/>
      <c r="V653" s="443"/>
      <c r="W653" s="471">
        <f t="shared" ref="W653:X653" si="789">W652</f>
        <v>26</v>
      </c>
      <c r="X653" s="471" t="e">
        <f t="shared" si="789"/>
        <v>#REF!</v>
      </c>
      <c r="Y653" s="471" t="e">
        <f t="shared" si="788"/>
        <v>#REF!</v>
      </c>
      <c r="Z653" s="471"/>
      <c r="AA653" s="471"/>
      <c r="AB653" s="457"/>
      <c r="AC653" s="457"/>
      <c r="AD653" s="457"/>
      <c r="AE653" s="457"/>
      <c r="AF653" s="457"/>
      <c r="AG653" s="457"/>
      <c r="AH653" s="457"/>
      <c r="AI653" s="457"/>
      <c r="AJ653" s="457"/>
      <c r="AK653" s="457"/>
      <c r="AL653" s="457"/>
      <c r="AM653" s="457"/>
      <c r="AN653" s="457"/>
    </row>
    <row r="654" spans="1:40" s="457" customFormat="1" ht="15.75" customHeight="1" x14ac:dyDescent="0.15">
      <c r="B654" s="473"/>
      <c r="C654" s="474" t="str">
        <f>"   공      종 : "&amp;목록!D$32</f>
        <v xml:space="preserve">   공      종 : 경량철골천정틀</v>
      </c>
      <c r="D654" s="484"/>
      <c r="E654" s="476"/>
      <c r="F654" s="473"/>
      <c r="G654" s="478"/>
      <c r="H654" s="463" t="str">
        <f t="shared" si="785"/>
        <v xml:space="preserve">   공      종 : 경량철골천정틀</v>
      </c>
      <c r="I654" s="479"/>
      <c r="J654" s="480"/>
      <c r="K654" s="481"/>
      <c r="L654" s="482"/>
      <c r="M654" s="482"/>
      <c r="N654" s="482"/>
      <c r="O654" s="466"/>
      <c r="P654" s="483"/>
      <c r="Q654" s="484"/>
      <c r="R654" s="485"/>
      <c r="S654" s="483"/>
      <c r="T654" s="470" t="str">
        <f t="shared" si="786"/>
        <v/>
      </c>
      <c r="V654" s="470"/>
      <c r="W654" s="471">
        <f t="shared" ref="W654:X654" si="790">W653</f>
        <v>26</v>
      </c>
      <c r="X654" s="471" t="e">
        <f t="shared" si="790"/>
        <v>#REF!</v>
      </c>
      <c r="Y654" s="471" t="e">
        <f t="shared" si="788"/>
        <v>#REF!</v>
      </c>
      <c r="Z654" s="471"/>
      <c r="AA654" s="471"/>
    </row>
    <row r="655" spans="1:40" s="457" customFormat="1" ht="15.75" customHeight="1" x14ac:dyDescent="0.15">
      <c r="B655" s="473"/>
      <c r="C655" s="474" t="str">
        <f xml:space="preserve"> "   규      격 : "&amp;목록!F$32</f>
        <v xml:space="preserve">   규      격 : M-BAR</v>
      </c>
      <c r="D655" s="484"/>
      <c r="E655" s="476"/>
      <c r="F655" s="473"/>
      <c r="G655" s="478"/>
      <c r="H655" s="463" t="str">
        <f t="shared" si="785"/>
        <v xml:space="preserve">   규      격 : M-BAR</v>
      </c>
      <c r="I655" s="479"/>
      <c r="J655" s="480" t="s">
        <v>348</v>
      </c>
      <c r="K655" s="481"/>
      <c r="L655" s="482" t="s">
        <v>349</v>
      </c>
      <c r="M655" s="482"/>
      <c r="N655" s="482" t="s">
        <v>240</v>
      </c>
      <c r="O655" s="466"/>
      <c r="P655" s="483"/>
      <c r="Q655" s="484" t="s">
        <v>752</v>
      </c>
      <c r="R655" s="484"/>
      <c r="S655" s="483"/>
      <c r="T655" s="470" t="str">
        <f t="shared" si="786"/>
        <v>합계</v>
      </c>
      <c r="V655" s="547"/>
      <c r="W655" s="471">
        <f t="shared" ref="W655:X655" si="791">W654</f>
        <v>26</v>
      </c>
      <c r="X655" s="471" t="e">
        <f t="shared" si="791"/>
        <v>#REF!</v>
      </c>
      <c r="Y655" s="471" t="e">
        <f t="shared" si="788"/>
        <v>#REF!</v>
      </c>
      <c r="Z655" s="471"/>
      <c r="AA655" s="471"/>
    </row>
    <row r="656" spans="1:40" s="457" customFormat="1" ht="15.75" customHeight="1" x14ac:dyDescent="0.15">
      <c r="B656" s="473"/>
      <c r="C656" s="474" t="str">
        <f>"   단      위 : "&amp;목록!G$32</f>
        <v xml:space="preserve">   단      위 : ㎡</v>
      </c>
      <c r="D656" s="484"/>
      <c r="E656" s="476"/>
      <c r="F656" s="473"/>
      <c r="G656" s="478"/>
      <c r="H656" s="463" t="str">
        <f t="shared" si="785"/>
        <v xml:space="preserve">   단      위 : ㎡</v>
      </c>
      <c r="I656" s="479"/>
      <c r="J656" s="486">
        <f>K674</f>
        <v>8575</v>
      </c>
      <c r="K656" s="481"/>
      <c r="L656" s="487">
        <f>M674</f>
        <v>7315</v>
      </c>
      <c r="M656" s="482"/>
      <c r="N656" s="482">
        <f>O674</f>
        <v>0</v>
      </c>
      <c r="O656" s="466"/>
      <c r="P656" s="483"/>
      <c r="Q656" s="488">
        <f>J656+L656+N656</f>
        <v>15890</v>
      </c>
      <c r="R656" s="489"/>
      <c r="S656" s="483"/>
      <c r="T656" s="470" t="str">
        <f t="shared" si="786"/>
        <v>15890</v>
      </c>
      <c r="V656" s="547"/>
      <c r="W656" s="471">
        <f t="shared" ref="W656:X656" si="792">W655</f>
        <v>26</v>
      </c>
      <c r="X656" s="471" t="e">
        <f t="shared" si="792"/>
        <v>#REF!</v>
      </c>
      <c r="Y656" s="471" t="e">
        <f t="shared" si="788"/>
        <v>#REF!</v>
      </c>
      <c r="Z656" s="471"/>
      <c r="AA656" s="471"/>
      <c r="AD656" s="457">
        <v>4</v>
      </c>
    </row>
    <row r="657" spans="1:40" s="457" customFormat="1" ht="15.75" customHeight="1" x14ac:dyDescent="0.15">
      <c r="B657" s="473"/>
      <c r="C657" s="474"/>
      <c r="D657" s="484"/>
      <c r="E657" s="476"/>
      <c r="F657" s="473"/>
      <c r="G657" s="490"/>
      <c r="H657" s="463" t="str">
        <f t="shared" si="785"/>
        <v/>
      </c>
      <c r="I657" s="491"/>
      <c r="J657" s="482"/>
      <c r="K657" s="465"/>
      <c r="L657" s="482"/>
      <c r="M657" s="482"/>
      <c r="N657" s="482"/>
      <c r="O657" s="466"/>
      <c r="P657" s="492"/>
      <c r="Q657" s="493"/>
      <c r="R657" s="485"/>
      <c r="S657" s="492"/>
      <c r="T657" s="470" t="str">
        <f t="shared" si="786"/>
        <v/>
      </c>
      <c r="V657" s="547"/>
      <c r="W657" s="471">
        <f t="shared" ref="W657:X657" si="793">W656</f>
        <v>26</v>
      </c>
      <c r="X657" s="471" t="e">
        <f t="shared" si="793"/>
        <v>#REF!</v>
      </c>
      <c r="Y657" s="471" t="e">
        <f t="shared" si="788"/>
        <v>#REF!</v>
      </c>
      <c r="Z657" s="471"/>
      <c r="AA657" s="471"/>
    </row>
    <row r="658" spans="1:40" s="457" customFormat="1" ht="15.75" customHeight="1" x14ac:dyDescent="0.15">
      <c r="B658" s="899" t="s">
        <v>375</v>
      </c>
      <c r="C658" s="900"/>
      <c r="D658" s="907" t="s">
        <v>356</v>
      </c>
      <c r="E658" s="908"/>
      <c r="F658" s="903" t="s">
        <v>780</v>
      </c>
      <c r="G658" s="913" t="s">
        <v>781</v>
      </c>
      <c r="H658" s="463" t="str">
        <f t="shared" si="785"/>
        <v>단위</v>
      </c>
      <c r="I658" s="494"/>
      <c r="J658" s="495" t="s">
        <v>348</v>
      </c>
      <c r="K658" s="496"/>
      <c r="L658" s="495" t="s">
        <v>349</v>
      </c>
      <c r="M658" s="496"/>
      <c r="N658" s="497" t="s">
        <v>240</v>
      </c>
      <c r="O658" s="497"/>
      <c r="P658" s="498"/>
      <c r="Q658" s="744" t="s">
        <v>355</v>
      </c>
      <c r="R658" s="744"/>
      <c r="S658" s="499"/>
      <c r="T658" s="470" t="str">
        <f t="shared" si="786"/>
        <v>비  고</v>
      </c>
      <c r="V658" s="547"/>
      <c r="W658" s="471">
        <f t="shared" ref="W658:X658" si="794">W657</f>
        <v>26</v>
      </c>
      <c r="X658" s="471" t="e">
        <f t="shared" si="794"/>
        <v>#REF!</v>
      </c>
      <c r="Y658" s="471" t="e">
        <f t="shared" si="788"/>
        <v>#REF!</v>
      </c>
      <c r="Z658" s="471"/>
      <c r="AA658" s="471"/>
    </row>
    <row r="659" spans="1:40" s="457" customFormat="1" ht="15.75" customHeight="1" x14ac:dyDescent="0.15">
      <c r="A659" s="547"/>
      <c r="B659" s="901"/>
      <c r="C659" s="902"/>
      <c r="D659" s="909"/>
      <c r="E659" s="910"/>
      <c r="F659" s="904"/>
      <c r="G659" s="914"/>
      <c r="H659" s="463" t="str">
        <f t="shared" si="785"/>
        <v/>
      </c>
      <c r="I659" s="500"/>
      <c r="J659" s="501" t="s">
        <v>353</v>
      </c>
      <c r="K659" s="501" t="s">
        <v>354</v>
      </c>
      <c r="L659" s="501" t="s">
        <v>353</v>
      </c>
      <c r="M659" s="502" t="s">
        <v>354</v>
      </c>
      <c r="N659" s="501" t="s">
        <v>353</v>
      </c>
      <c r="O659" s="501" t="s">
        <v>354</v>
      </c>
      <c r="P659" s="503"/>
      <c r="Q659" s="745"/>
      <c r="R659" s="745"/>
      <c r="S659" s="504"/>
      <c r="T659" s="470" t="str">
        <f t="shared" si="786"/>
        <v/>
      </c>
      <c r="V659" s="547"/>
      <c r="W659" s="471">
        <f t="shared" ref="W659:X659" si="795">W658</f>
        <v>26</v>
      </c>
      <c r="X659" s="471" t="e">
        <f t="shared" si="795"/>
        <v>#REF!</v>
      </c>
      <c r="Y659" s="471" t="e">
        <f t="shared" si="788"/>
        <v>#REF!</v>
      </c>
      <c r="Z659" s="471"/>
      <c r="AA659" s="471"/>
    </row>
    <row r="660" spans="1:40" s="457" customFormat="1" ht="15.75" customHeight="1" x14ac:dyDescent="0.15">
      <c r="A660" s="547"/>
      <c r="B660" s="95"/>
      <c r="C660" s="143" t="s">
        <v>437</v>
      </c>
      <c r="D660" s="142"/>
      <c r="E660" s="197" t="s">
        <v>438</v>
      </c>
      <c r="F660" s="96" t="s">
        <v>352</v>
      </c>
      <c r="G660" s="505">
        <v>1.3620000000000001</v>
      </c>
      <c r="H660" s="463" t="str">
        <f t="shared" si="785"/>
        <v>인서트퍼지인서트 3/8EA</v>
      </c>
      <c r="I660" s="451" t="str">
        <f>CONCATENATE(C660,E660,F660)</f>
        <v>인서트퍼지인서트 3/8EA</v>
      </c>
      <c r="J660" s="506">
        <f>IF(OR($F660="인",$F660=""),"",VLOOKUP($H660,단가!$A:$S,19,FALSE))</f>
        <v>710</v>
      </c>
      <c r="K660" s="507">
        <f t="shared" ref="K660:K669" si="796">IF(J660="","",TRUNC($G660*J660,0))</f>
        <v>967</v>
      </c>
      <c r="L660" s="506" t="str">
        <f>IF($F660="인",VLOOKUP($C:$C,노임!$C:$G,4,FALSE),"")</f>
        <v/>
      </c>
      <c r="M660" s="507" t="str">
        <f t="shared" ref="M660:M669" si="797">IF(L660="","",TRUNC($G660*L660,0))</f>
        <v/>
      </c>
      <c r="N660" s="507"/>
      <c r="O660" s="507" t="str">
        <f t="shared" ref="O660:O669" si="798">IF(N660="","",TRUNC($G660*N660,0))</f>
        <v/>
      </c>
      <c r="P660" s="508"/>
      <c r="Q660" s="509" t="str">
        <f>IF(F660="인","노임"&amp;VLOOKUP($C:$C,노임!C:G,5,FALSE)&amp;"번","단가"&amp;VLOOKUP($H:$H,단가!$A:$B,2,FALSE)&amp;"번")</f>
        <v>단가2번</v>
      </c>
      <c r="R660" s="510"/>
      <c r="S660" s="131"/>
      <c r="T660" s="470" t="str">
        <f t="shared" si="786"/>
        <v>단가2번</v>
      </c>
      <c r="V660" s="548"/>
      <c r="W660" s="471">
        <f t="shared" ref="W660:X660" si="799">W659</f>
        <v>26</v>
      </c>
      <c r="X660" s="471" t="e">
        <f t="shared" si="799"/>
        <v>#REF!</v>
      </c>
      <c r="Y660" s="471" t="e">
        <f t="shared" si="788"/>
        <v>#REF!</v>
      </c>
      <c r="Z660" s="471"/>
      <c r="AA660" s="471"/>
    </row>
    <row r="661" spans="1:40" s="457" customFormat="1" ht="15.75" customHeight="1" x14ac:dyDescent="0.15">
      <c r="A661" s="470"/>
      <c r="B661" s="95"/>
      <c r="C661" s="140" t="s">
        <v>452</v>
      </c>
      <c r="D661" s="95"/>
      <c r="E661" s="206" t="s">
        <v>378</v>
      </c>
      <c r="F661" s="94" t="s">
        <v>352</v>
      </c>
      <c r="G661" s="505">
        <v>1.3620000000000001</v>
      </c>
      <c r="H661" s="463" t="str">
        <f t="shared" ref="H661:H669" si="800">CONCATENATE(C661,E661,F661)</f>
        <v>행거볼트Φ9*1,000EA</v>
      </c>
      <c r="I661" s="451" t="str">
        <f t="shared" ref="I661:I669" si="801">CONCATENATE(C661,E661,F661)</f>
        <v>행거볼트Φ9*1,000EA</v>
      </c>
      <c r="J661" s="506">
        <f>IF(OR($F661="인",$F661=""),"",VLOOKUP($H661,단가!$A:$S,19,FALSE))</f>
        <v>1160</v>
      </c>
      <c r="K661" s="507">
        <f t="shared" si="796"/>
        <v>1579</v>
      </c>
      <c r="L661" s="506" t="str">
        <f>IF($F661="인",VLOOKUP($C:$C,노임!$C:$G,4,FALSE),"")</f>
        <v/>
      </c>
      <c r="M661" s="507" t="str">
        <f t="shared" si="797"/>
        <v/>
      </c>
      <c r="N661" s="507"/>
      <c r="O661" s="507" t="str">
        <f t="shared" si="798"/>
        <v/>
      </c>
      <c r="P661" s="508"/>
      <c r="Q661" s="509" t="str">
        <f>IF(F661="인","노임"&amp;VLOOKUP($C:$C,노임!C:G,5,FALSE)&amp;"번","단가"&amp;VLOOKUP($H:$H,단가!$A:$B,2,FALSE)&amp;"번")</f>
        <v>단가26번</v>
      </c>
      <c r="R661" s="510"/>
      <c r="S661" s="131"/>
      <c r="T661" s="470" t="str">
        <f t="shared" si="786"/>
        <v>단가26번</v>
      </c>
      <c r="V661" s="548"/>
      <c r="W661" s="471">
        <f t="shared" ref="W661:X661" si="802">W660</f>
        <v>26</v>
      </c>
      <c r="X661" s="471" t="e">
        <f t="shared" si="802"/>
        <v>#REF!</v>
      </c>
      <c r="Y661" s="471" t="e">
        <f t="shared" si="788"/>
        <v>#REF!</v>
      </c>
      <c r="Z661" s="471"/>
      <c r="AA661" s="471"/>
    </row>
    <row r="662" spans="1:40" s="457" customFormat="1" ht="15.75" customHeight="1" x14ac:dyDescent="0.15">
      <c r="A662" s="470"/>
      <c r="B662" s="95"/>
      <c r="C662" s="143" t="s">
        <v>449</v>
      </c>
      <c r="D662" s="142"/>
      <c r="E662" s="97" t="s">
        <v>450</v>
      </c>
      <c r="F662" s="94" t="s">
        <v>351</v>
      </c>
      <c r="G662" s="505">
        <v>1.222</v>
      </c>
      <c r="H662" s="463" t="str">
        <f t="shared" si="800"/>
        <v>케링찬넬GAL'V 1.2T*38*12m</v>
      </c>
      <c r="I662" s="451" t="str">
        <f t="shared" si="801"/>
        <v>케링찬넬GAL'V 1.2T*38*12m</v>
      </c>
      <c r="J662" s="506">
        <f>IF(OR($F662="인",$F662=""),"",VLOOKUP($H662,단가!$A:$S,19,FALSE))</f>
        <v>1250</v>
      </c>
      <c r="K662" s="507">
        <f t="shared" si="796"/>
        <v>1527</v>
      </c>
      <c r="L662" s="506" t="str">
        <f>IF($F662="인",VLOOKUP($C:$C,노임!$C:$G,4,FALSE),"")</f>
        <v/>
      </c>
      <c r="M662" s="507" t="str">
        <f t="shared" si="797"/>
        <v/>
      </c>
      <c r="N662" s="507"/>
      <c r="O662" s="507" t="str">
        <f t="shared" si="798"/>
        <v/>
      </c>
      <c r="P662" s="508"/>
      <c r="Q662" s="509" t="str">
        <f>IF(F662="인","노임"&amp;VLOOKUP($C:$C,노임!C:G,5,FALSE)&amp;"번","단가"&amp;VLOOKUP($H:$H,단가!$A:$B,2,FALSE)&amp;"번")</f>
        <v>단가24번</v>
      </c>
      <c r="R662" s="510"/>
      <c r="S662" s="131"/>
      <c r="T662" s="470" t="str">
        <f t="shared" si="786"/>
        <v>단가24번</v>
      </c>
      <c r="U662" s="470"/>
      <c r="V662" s="549"/>
      <c r="W662" s="471">
        <f t="shared" ref="W662:X662" si="803">W661</f>
        <v>26</v>
      </c>
      <c r="X662" s="471" t="e">
        <f t="shared" si="803"/>
        <v>#REF!</v>
      </c>
      <c r="Y662" s="471" t="e">
        <f t="shared" si="788"/>
        <v>#REF!</v>
      </c>
      <c r="Z662" s="471"/>
      <c r="AA662" s="471"/>
      <c r="AC662" s="470"/>
      <c r="AD662" s="470"/>
      <c r="AE662" s="470"/>
      <c r="AF662" s="470"/>
      <c r="AG662" s="470"/>
      <c r="AH662" s="470"/>
      <c r="AI662" s="470"/>
      <c r="AJ662" s="470"/>
      <c r="AK662" s="470"/>
      <c r="AL662" s="470"/>
      <c r="AM662" s="470"/>
      <c r="AN662" s="470"/>
    </row>
    <row r="663" spans="1:40" s="470" customFormat="1" ht="15.75" customHeight="1" x14ac:dyDescent="0.15">
      <c r="B663" s="95"/>
      <c r="C663" s="140" t="s">
        <v>443</v>
      </c>
      <c r="D663" s="95"/>
      <c r="E663" s="141" t="s">
        <v>444</v>
      </c>
      <c r="F663" s="94" t="s">
        <v>351</v>
      </c>
      <c r="G663" s="505">
        <v>0.52500000000000002</v>
      </c>
      <c r="H663" s="463" t="str">
        <f t="shared" si="800"/>
        <v>마이너찬넬GAL'V 1.2T*19*10m</v>
      </c>
      <c r="I663" s="451" t="str">
        <f t="shared" si="801"/>
        <v>마이너찬넬GAL'V 1.2T*19*10m</v>
      </c>
      <c r="J663" s="506">
        <f>IF(OR($F663="인",$F663=""),"",VLOOKUP($H663,단가!$A:$S,19,FALSE))</f>
        <v>780</v>
      </c>
      <c r="K663" s="507">
        <f t="shared" si="796"/>
        <v>409</v>
      </c>
      <c r="L663" s="506" t="str">
        <f>IF($F663="인",VLOOKUP($C:$C,노임!$C:$G,4,FALSE),"")</f>
        <v/>
      </c>
      <c r="M663" s="507" t="str">
        <f t="shared" si="797"/>
        <v/>
      </c>
      <c r="N663" s="507"/>
      <c r="O663" s="507" t="str">
        <f t="shared" si="798"/>
        <v/>
      </c>
      <c r="P663" s="508"/>
      <c r="Q663" s="509" t="str">
        <f>IF(F663="인","노임"&amp;VLOOKUP($C:$C,노임!C:G,5,FALSE)&amp;"번","단가"&amp;VLOOKUP($H:$H,단가!$A:$B,2,FALSE)&amp;"번")</f>
        <v>단가21번</v>
      </c>
      <c r="R663" s="510"/>
      <c r="S663" s="131"/>
      <c r="T663" s="470" t="str">
        <f t="shared" si="786"/>
        <v>단가21번</v>
      </c>
      <c r="V663" s="549"/>
      <c r="W663" s="471">
        <f t="shared" ref="W663:X663" si="804">W662</f>
        <v>26</v>
      </c>
      <c r="X663" s="471" t="e">
        <f t="shared" si="804"/>
        <v>#REF!</v>
      </c>
      <c r="Y663" s="471" t="e">
        <f t="shared" si="788"/>
        <v>#REF!</v>
      </c>
      <c r="Z663" s="471"/>
      <c r="AA663" s="471"/>
    </row>
    <row r="664" spans="1:40" s="470" customFormat="1" ht="15.75" customHeight="1" x14ac:dyDescent="0.15">
      <c r="B664" s="95"/>
      <c r="C664" s="143" t="s">
        <v>451</v>
      </c>
      <c r="D664" s="142"/>
      <c r="E664" s="97" t="s">
        <v>586</v>
      </c>
      <c r="F664" s="208" t="s">
        <v>1042</v>
      </c>
      <c r="G664" s="505">
        <v>1.3620000000000001</v>
      </c>
      <c r="H664" s="463" t="str">
        <f t="shared" si="800"/>
        <v>행거 및 핀L=100mmEA</v>
      </c>
      <c r="I664" s="451" t="str">
        <f t="shared" si="801"/>
        <v>행거 및 핀L=100mmEA</v>
      </c>
      <c r="J664" s="506">
        <f>IF(OR($F664="인",$F664=""),"",VLOOKUP($H664,단가!$A:$S,19,FALSE))</f>
        <v>250</v>
      </c>
      <c r="K664" s="507">
        <f t="shared" si="796"/>
        <v>340</v>
      </c>
      <c r="L664" s="506" t="str">
        <f>IF($F664="인",VLOOKUP($C:$C,노임!$C:$G,4,FALSE),"")</f>
        <v/>
      </c>
      <c r="M664" s="507" t="str">
        <f t="shared" si="797"/>
        <v/>
      </c>
      <c r="N664" s="507"/>
      <c r="O664" s="507" t="str">
        <f t="shared" si="798"/>
        <v/>
      </c>
      <c r="P664" s="508"/>
      <c r="Q664" s="509" t="str">
        <f>IF(F664="인","노임"&amp;VLOOKUP($C:$C,노임!C:G,5,FALSE)&amp;"번","단가"&amp;VLOOKUP($H:$H,단가!$A:$B,2,FALSE)&amp;"번")</f>
        <v>단가25번</v>
      </c>
      <c r="R664" s="510"/>
      <c r="S664" s="131"/>
      <c r="T664" s="470" t="str">
        <f t="shared" si="786"/>
        <v>단가25번</v>
      </c>
      <c r="V664" s="549"/>
      <c r="W664" s="471">
        <f t="shared" ref="W664:X664" si="805">W663</f>
        <v>26</v>
      </c>
      <c r="X664" s="471" t="e">
        <f t="shared" si="805"/>
        <v>#REF!</v>
      </c>
      <c r="Y664" s="471" t="e">
        <f t="shared" si="788"/>
        <v>#REF!</v>
      </c>
      <c r="Z664" s="471"/>
      <c r="AA664" s="471"/>
    </row>
    <row r="665" spans="1:40" s="470" customFormat="1" ht="15.75" customHeight="1" x14ac:dyDescent="0.15">
      <c r="B665" s="95"/>
      <c r="C665" s="140" t="s">
        <v>496</v>
      </c>
      <c r="D665" s="95"/>
      <c r="E665" s="141" t="s">
        <v>497</v>
      </c>
      <c r="F665" s="94" t="s">
        <v>352</v>
      </c>
      <c r="G665" s="505">
        <v>0.58399999999999996</v>
      </c>
      <c r="H665" s="463" t="str">
        <f t="shared" si="800"/>
        <v>찬넬클립1.2T*34*34EA</v>
      </c>
      <c r="I665" s="451" t="str">
        <f t="shared" si="801"/>
        <v>찬넬클립1.2T*34*34EA</v>
      </c>
      <c r="J665" s="506">
        <f>IF(OR($F665="인",$F665=""),"",VLOOKUP($H665,단가!$A:$S,19,FALSE))</f>
        <v>111</v>
      </c>
      <c r="K665" s="507">
        <f t="shared" si="796"/>
        <v>64</v>
      </c>
      <c r="L665" s="506" t="str">
        <f>IF($F665="인",VLOOKUP($C:$C,노임!$C:$G,4,FALSE),"")</f>
        <v/>
      </c>
      <c r="M665" s="507" t="str">
        <f t="shared" si="797"/>
        <v/>
      </c>
      <c r="N665" s="507"/>
      <c r="O665" s="507" t="str">
        <f t="shared" si="798"/>
        <v/>
      </c>
      <c r="P665" s="508"/>
      <c r="Q665" s="509" t="str">
        <f>IF(F665="인","노임"&amp;VLOOKUP($C:$C,노임!C:G,5,FALSE)&amp;"번","단가"&amp;VLOOKUP($H:$H,단가!$A:$B,2,FALSE)&amp;"번")</f>
        <v>단가85번</v>
      </c>
      <c r="R665" s="534"/>
      <c r="S665" s="131"/>
      <c r="T665" s="470" t="str">
        <f t="shared" si="786"/>
        <v>단가85번</v>
      </c>
      <c r="V665" s="549"/>
      <c r="W665" s="471">
        <f t="shared" ref="W665:X665" si="806">W664</f>
        <v>26</v>
      </c>
      <c r="X665" s="471" t="e">
        <f t="shared" si="806"/>
        <v>#REF!</v>
      </c>
      <c r="Y665" s="471" t="e">
        <f t="shared" si="788"/>
        <v>#REF!</v>
      </c>
      <c r="Z665" s="471"/>
      <c r="AA665" s="471"/>
    </row>
    <row r="666" spans="1:40" s="470" customFormat="1" ht="15.75" customHeight="1" x14ac:dyDescent="0.15">
      <c r="B666" s="95"/>
      <c r="C666" s="140" t="s">
        <v>498</v>
      </c>
      <c r="D666" s="95"/>
      <c r="E666" s="141" t="s">
        <v>499</v>
      </c>
      <c r="F666" s="94" t="s">
        <v>439</v>
      </c>
      <c r="G666" s="505">
        <v>0.19500000000000001</v>
      </c>
      <c r="H666" s="463" t="str">
        <f t="shared" si="800"/>
        <v>캐링조인트0.5T*13*40*90개</v>
      </c>
      <c r="I666" s="451" t="str">
        <f t="shared" si="801"/>
        <v>캐링조인트0.5T*13*40*90개</v>
      </c>
      <c r="J666" s="506">
        <f>IF(OR($F666="인",$F666=""),"",VLOOKUP($H666,단가!$A:$S,19,FALSE))</f>
        <v>107</v>
      </c>
      <c r="K666" s="507">
        <f t="shared" si="796"/>
        <v>20</v>
      </c>
      <c r="L666" s="506" t="str">
        <f>IF($F666="인",VLOOKUP($C:$C,노임!$C:$G,4,FALSE),"")</f>
        <v/>
      </c>
      <c r="M666" s="507" t="str">
        <f t="shared" si="797"/>
        <v/>
      </c>
      <c r="N666" s="507"/>
      <c r="O666" s="507" t="str">
        <f t="shared" si="798"/>
        <v/>
      </c>
      <c r="P666" s="508"/>
      <c r="Q666" s="509" t="str">
        <f>IF(F666="인","노임"&amp;VLOOKUP($C:$C,노임!C:G,5,FALSE)&amp;"번","단가"&amp;VLOOKUP($H:$H,단가!$A:$B,2,FALSE)&amp;"번")</f>
        <v>단가86번</v>
      </c>
      <c r="R666" s="534"/>
      <c r="S666" s="131"/>
      <c r="T666" s="470" t="str">
        <f t="shared" si="786"/>
        <v>단가86번</v>
      </c>
      <c r="V666" s="549"/>
      <c r="W666" s="471">
        <f t="shared" ref="W666:X666" si="807">W665</f>
        <v>26</v>
      </c>
      <c r="X666" s="471" t="e">
        <f t="shared" si="807"/>
        <v>#REF!</v>
      </c>
      <c r="Y666" s="471" t="e">
        <f t="shared" si="788"/>
        <v>#REF!</v>
      </c>
      <c r="Z666" s="471"/>
      <c r="AA666" s="471"/>
    </row>
    <row r="667" spans="1:40" s="470" customFormat="1" ht="15.75" customHeight="1" x14ac:dyDescent="0.15">
      <c r="B667" s="95"/>
      <c r="C667" s="140" t="s">
        <v>363</v>
      </c>
      <c r="D667" s="95"/>
      <c r="E667" s="141" t="s">
        <v>362</v>
      </c>
      <c r="F667" s="94" t="s">
        <v>351</v>
      </c>
      <c r="G667" s="505">
        <v>3.6749999999999998</v>
      </c>
      <c r="H667" s="463" t="str">
        <f t="shared" si="800"/>
        <v>M-BARGAL'V 0.5T*50*19m</v>
      </c>
      <c r="I667" s="451" t="str">
        <f t="shared" si="801"/>
        <v>M-BARGAL'V 0.5T*50*19m</v>
      </c>
      <c r="J667" s="506">
        <f>IF(OR($F667="인",$F667=""),"",VLOOKUP($H667,단가!$A:$S,19,FALSE))</f>
        <v>800</v>
      </c>
      <c r="K667" s="507">
        <f t="shared" si="796"/>
        <v>2940</v>
      </c>
      <c r="L667" s="506" t="str">
        <f>IF($F667="인",VLOOKUP($C:$C,노임!$C:$G,4,FALSE),"")</f>
        <v/>
      </c>
      <c r="M667" s="507" t="str">
        <f t="shared" si="797"/>
        <v/>
      </c>
      <c r="N667" s="507"/>
      <c r="O667" s="507" t="str">
        <f t="shared" si="798"/>
        <v/>
      </c>
      <c r="P667" s="508"/>
      <c r="Q667" s="509" t="str">
        <f>IF(F667="인","노임"&amp;VLOOKUP($C:$C,노임!C:G,5,FALSE)&amp;"번","단가"&amp;VLOOKUP($H:$H,단가!$A:$B,2,FALSE)&amp;"번")</f>
        <v>단가20번</v>
      </c>
      <c r="R667" s="534"/>
      <c r="S667" s="131"/>
      <c r="T667" s="470" t="str">
        <f t="shared" si="786"/>
        <v>단가20번</v>
      </c>
      <c r="V667" s="549"/>
      <c r="W667" s="471">
        <f t="shared" ref="W667:X667" si="808">W666</f>
        <v>26</v>
      </c>
      <c r="X667" s="471" t="e">
        <f t="shared" si="808"/>
        <v>#REF!</v>
      </c>
      <c r="Y667" s="471" t="e">
        <f t="shared" si="788"/>
        <v>#REF!</v>
      </c>
      <c r="Z667" s="471"/>
      <c r="AA667" s="471"/>
    </row>
    <row r="668" spans="1:40" s="470" customFormat="1" ht="15.75" customHeight="1" x14ac:dyDescent="0.15">
      <c r="B668" s="95"/>
      <c r="C668" s="140" t="s">
        <v>502</v>
      </c>
      <c r="D668" s="95"/>
      <c r="E668" s="141" t="s">
        <v>361</v>
      </c>
      <c r="F668" s="94" t="s">
        <v>352</v>
      </c>
      <c r="G668" s="505">
        <v>4.0839999999999996</v>
      </c>
      <c r="H668" s="463" t="str">
        <f t="shared" si="800"/>
        <v>M-BAR 클립0.5T*34*38*47EA</v>
      </c>
      <c r="I668" s="451" t="str">
        <f t="shared" si="801"/>
        <v>M-BAR 클립0.5T*34*38*47EA</v>
      </c>
      <c r="J668" s="506">
        <f>IF(OR($F668="인",$F668=""),"",VLOOKUP($H668,단가!$A:$S,19,FALSE))</f>
        <v>60</v>
      </c>
      <c r="K668" s="507">
        <f t="shared" si="796"/>
        <v>245</v>
      </c>
      <c r="L668" s="506" t="str">
        <f>IF($F668="인",VLOOKUP($C:$C,노임!$C:$G,4,FALSE),"")</f>
        <v/>
      </c>
      <c r="M668" s="507" t="str">
        <f t="shared" si="797"/>
        <v/>
      </c>
      <c r="N668" s="507"/>
      <c r="O668" s="507" t="str">
        <f t="shared" si="798"/>
        <v/>
      </c>
      <c r="P668" s="508"/>
      <c r="Q668" s="509" t="str">
        <f>IF(F668="인","노임"&amp;VLOOKUP($C:$C,노임!C:G,5,FALSE)&amp;"번","단가"&amp;VLOOKUP($H:$H,단가!$A:$B,2,FALSE)&amp;"번")</f>
        <v>단가83번</v>
      </c>
      <c r="R668" s="534"/>
      <c r="S668" s="131"/>
      <c r="T668" s="470" t="str">
        <f t="shared" si="786"/>
        <v>단가83번</v>
      </c>
      <c r="V668" s="549"/>
      <c r="W668" s="471">
        <f t="shared" ref="W668:X668" si="809">W667</f>
        <v>26</v>
      </c>
      <c r="X668" s="471" t="e">
        <f t="shared" si="809"/>
        <v>#REF!</v>
      </c>
      <c r="Y668" s="471" t="e">
        <f t="shared" si="788"/>
        <v>#REF!</v>
      </c>
      <c r="Z668" s="471"/>
      <c r="AA668" s="471"/>
    </row>
    <row r="669" spans="1:40" s="470" customFormat="1" ht="15.75" customHeight="1" x14ac:dyDescent="0.15">
      <c r="B669" s="95"/>
      <c r="C669" s="140" t="s">
        <v>503</v>
      </c>
      <c r="D669" s="95"/>
      <c r="E669" s="141" t="s">
        <v>504</v>
      </c>
      <c r="F669" s="94" t="s">
        <v>352</v>
      </c>
      <c r="G669" s="505">
        <v>0.58399999999999996</v>
      </c>
      <c r="H669" s="463" t="str">
        <f t="shared" si="800"/>
        <v>M-BAR.조인트0.5T*100*43EA</v>
      </c>
      <c r="I669" s="451" t="str">
        <f t="shared" si="801"/>
        <v>M-BAR.조인트0.5T*100*43EA</v>
      </c>
      <c r="J669" s="506">
        <f>IF(OR($F669="인",$F669=""),"",VLOOKUP($H669,단가!$A:$S,19,FALSE))</f>
        <v>80</v>
      </c>
      <c r="K669" s="507">
        <f t="shared" si="796"/>
        <v>46</v>
      </c>
      <c r="L669" s="506" t="str">
        <f>IF($F669="인",VLOOKUP($C:$C,노임!$C:$G,4,FALSE),"")</f>
        <v/>
      </c>
      <c r="M669" s="507" t="str">
        <f t="shared" si="797"/>
        <v/>
      </c>
      <c r="N669" s="507"/>
      <c r="O669" s="507" t="str">
        <f t="shared" si="798"/>
        <v/>
      </c>
      <c r="P669" s="508"/>
      <c r="Q669" s="509" t="str">
        <f>IF(F669="인","노임"&amp;VLOOKUP($C:$C,노임!C:G,5,FALSE)&amp;"번","단가"&amp;VLOOKUP($H:$H,단가!$A:$B,2,FALSE)&amp;"번")</f>
        <v>단가84번</v>
      </c>
      <c r="R669" s="534"/>
      <c r="S669" s="131"/>
      <c r="T669" s="470" t="str">
        <f t="shared" si="786"/>
        <v>단가84번</v>
      </c>
      <c r="V669" s="549"/>
      <c r="W669" s="471">
        <f t="shared" ref="W669:X669" si="810">W668</f>
        <v>26</v>
      </c>
      <c r="X669" s="471" t="e">
        <f t="shared" si="810"/>
        <v>#REF!</v>
      </c>
      <c r="Y669" s="471" t="e">
        <f t="shared" si="788"/>
        <v>#REF!</v>
      </c>
      <c r="Z669" s="471"/>
      <c r="AA669" s="471"/>
    </row>
    <row r="670" spans="1:40" s="470" customFormat="1" ht="15.75" customHeight="1" x14ac:dyDescent="0.15">
      <c r="B670" s="95"/>
      <c r="C670" s="140" t="s">
        <v>889</v>
      </c>
      <c r="D670" s="95"/>
      <c r="E670" s="141"/>
      <c r="F670" s="94" t="s">
        <v>890</v>
      </c>
      <c r="G670" s="505">
        <v>4.2999999999999997E-2</v>
      </c>
      <c r="H670" s="463" t="str">
        <f t="shared" ref="H670:H677" si="811">CONCATENATE(C670,E670,F670)</f>
        <v>내장공인</v>
      </c>
      <c r="I670" s="451" t="str">
        <f>CONCATENATE(C670,E670,F670)</f>
        <v>내장공인</v>
      </c>
      <c r="J670" s="506" t="str">
        <f>IF(OR($F670="인",$F670=""),"",VLOOKUP($H670,단가!$A:$S,19,FALSE))</f>
        <v/>
      </c>
      <c r="K670" s="507" t="str">
        <f>IF(J670="","",TRUNC($G670*J670,0))</f>
        <v/>
      </c>
      <c r="L670" s="506">
        <f>IF($F670="인",VLOOKUP($C:$C,노임!$C:$G,4,FALSE),"")</f>
        <v>160195</v>
      </c>
      <c r="M670" s="507">
        <f>IF(L670="","",TRUNC($G670*L670,0))</f>
        <v>6888</v>
      </c>
      <c r="N670" s="507"/>
      <c r="O670" s="507" t="str">
        <f>IF(N670="","",TRUNC($G670*N670,0))</f>
        <v/>
      </c>
      <c r="P670" s="508"/>
      <c r="Q670" s="509" t="str">
        <f>IF(F670="인","노임"&amp;VLOOKUP($C:$C,노임!C:G,5,FALSE)&amp;"번","단가"&amp;VLOOKUP($H:$H,단가!$A:$B,2,FALSE)&amp;"번")</f>
        <v>노임1030번</v>
      </c>
      <c r="R670" s="534"/>
      <c r="S670" s="131"/>
      <c r="T670" s="470" t="str">
        <f t="shared" si="786"/>
        <v>노임1030번</v>
      </c>
      <c r="V670" s="549"/>
      <c r="W670" s="471">
        <f t="shared" ref="W670:X670" si="812">W669</f>
        <v>26</v>
      </c>
      <c r="X670" s="471" t="e">
        <f t="shared" si="812"/>
        <v>#REF!</v>
      </c>
      <c r="Y670" s="471" t="e">
        <f t="shared" si="788"/>
        <v>#REF!</v>
      </c>
      <c r="Z670" s="471"/>
      <c r="AA670" s="471"/>
    </row>
    <row r="671" spans="1:40" s="470" customFormat="1" ht="15.75" customHeight="1" x14ac:dyDescent="0.15">
      <c r="B671" s="95"/>
      <c r="C671" s="140" t="s">
        <v>891</v>
      </c>
      <c r="D671" s="95"/>
      <c r="E671" s="141"/>
      <c r="F671" s="94" t="s">
        <v>890</v>
      </c>
      <c r="G671" s="505">
        <v>4.0000000000000001E-3</v>
      </c>
      <c r="H671" s="463" t="str">
        <f t="shared" si="811"/>
        <v>보통인부인</v>
      </c>
      <c r="I671" s="451" t="str">
        <f>CONCATENATE(C671,E671,F671)</f>
        <v>보통인부인</v>
      </c>
      <c r="J671" s="506" t="str">
        <f>IF(OR($F671="인",$F671=""),"",VLOOKUP($H671,단가!$A:$S,19,FALSE))</f>
        <v/>
      </c>
      <c r="K671" s="507" t="str">
        <f>IF(J671="","",TRUNC($G671*J671,0))</f>
        <v/>
      </c>
      <c r="L671" s="506">
        <f>IF($F671="인",VLOOKUP($C:$C,노임!$C:$G,4,FALSE),"")</f>
        <v>106846</v>
      </c>
      <c r="M671" s="507">
        <f>IF(L671="","",TRUNC($G671*L671,0))</f>
        <v>427</v>
      </c>
      <c r="N671" s="507"/>
      <c r="O671" s="507" t="str">
        <f>IF(N671="","",TRUNC($G671*N671,0))</f>
        <v/>
      </c>
      <c r="P671" s="508"/>
      <c r="Q671" s="509" t="str">
        <f>IF(F671="인","노임"&amp;VLOOKUP($C:$C,노임!C:G,5,FALSE)&amp;"번","단가"&amp;VLOOKUP($H:$H,단가!$A:$B,2,FALSE)&amp;"번")</f>
        <v>노임1002번</v>
      </c>
      <c r="R671" s="513"/>
      <c r="S671" s="131"/>
      <c r="T671" s="470" t="str">
        <f t="shared" si="786"/>
        <v>노임1002번</v>
      </c>
      <c r="V671" s="549"/>
      <c r="W671" s="471">
        <f t="shared" ref="W671:X671" si="813">W670</f>
        <v>26</v>
      </c>
      <c r="X671" s="471" t="e">
        <f t="shared" si="813"/>
        <v>#REF!</v>
      </c>
      <c r="Y671" s="471" t="e">
        <f t="shared" si="788"/>
        <v>#REF!</v>
      </c>
      <c r="Z671" s="471"/>
      <c r="AA671" s="471"/>
    </row>
    <row r="672" spans="1:40" s="470" customFormat="1" ht="15.75" customHeight="1" x14ac:dyDescent="0.15">
      <c r="B672" s="95"/>
      <c r="C672" s="140" t="s">
        <v>814</v>
      </c>
      <c r="D672" s="95"/>
      <c r="E672" s="141" t="s">
        <v>1027</v>
      </c>
      <c r="F672" s="94" t="s">
        <v>358</v>
      </c>
      <c r="G672" s="505">
        <v>1</v>
      </c>
      <c r="H672" s="463" t="str">
        <f t="shared" si="811"/>
        <v>공구손료인력품의 6%식</v>
      </c>
      <c r="I672" s="451" t="str">
        <f>CONCATENATE(C672,E672,F672)</f>
        <v>공구손료인력품의 6%식</v>
      </c>
      <c r="J672" s="506">
        <f>TRUNC(SUM(M670:M671)*6%,0)</f>
        <v>438</v>
      </c>
      <c r="K672" s="507">
        <f>IF(J672="","",TRUNC($G672*J672,0))</f>
        <v>438</v>
      </c>
      <c r="L672" s="506"/>
      <c r="M672" s="507" t="str">
        <f>IF(L672="","",TRUNC($G672*L672,0))</f>
        <v/>
      </c>
      <c r="N672" s="507"/>
      <c r="O672" s="507" t="str">
        <f>IF(N672="","",TRUNC($G672*N672,0))</f>
        <v/>
      </c>
      <c r="P672" s="508"/>
      <c r="Q672" s="512"/>
      <c r="R672" s="513"/>
      <c r="S672" s="131"/>
      <c r="T672" s="470" t="str">
        <f t="shared" si="786"/>
        <v/>
      </c>
      <c r="V672" s="549"/>
      <c r="W672" s="471">
        <f t="shared" ref="W672:X672" si="814">W671</f>
        <v>26</v>
      </c>
      <c r="X672" s="471" t="e">
        <f t="shared" si="814"/>
        <v>#REF!</v>
      </c>
      <c r="Y672" s="471" t="e">
        <f t="shared" si="788"/>
        <v>#REF!</v>
      </c>
      <c r="Z672" s="471"/>
      <c r="AA672" s="471"/>
    </row>
    <row r="673" spans="1:40" s="470" customFormat="1" ht="15.75" customHeight="1" x14ac:dyDescent="0.15">
      <c r="B673" s="453"/>
      <c r="C673" s="209"/>
      <c r="D673" s="95"/>
      <c r="E673" s="141"/>
      <c r="F673" s="94"/>
      <c r="G673" s="505"/>
      <c r="H673" s="463" t="str">
        <f t="shared" si="811"/>
        <v/>
      </c>
      <c r="I673" s="451"/>
      <c r="J673" s="506"/>
      <c r="K673" s="507"/>
      <c r="L673" s="506"/>
      <c r="M673" s="507"/>
      <c r="N673" s="507"/>
      <c r="O673" s="507"/>
      <c r="P673" s="508"/>
      <c r="Q673" s="512"/>
      <c r="R673" s="513"/>
      <c r="S673" s="131"/>
      <c r="T673" s="470" t="str">
        <f t="shared" si="786"/>
        <v/>
      </c>
      <c r="U673" s="457"/>
      <c r="V673" s="551"/>
      <c r="W673" s="471">
        <f t="shared" ref="W673:X673" si="815">W672</f>
        <v>26</v>
      </c>
      <c r="X673" s="471" t="e">
        <f t="shared" si="815"/>
        <v>#REF!</v>
      </c>
      <c r="Y673" s="471" t="e">
        <f t="shared" si="788"/>
        <v>#REF!</v>
      </c>
      <c r="Z673" s="471"/>
      <c r="AA673" s="471"/>
      <c r="AB673" s="457"/>
      <c r="AC673" s="457"/>
      <c r="AD673" s="457"/>
      <c r="AE673" s="457"/>
      <c r="AF673" s="457"/>
      <c r="AG673" s="457"/>
      <c r="AH673" s="457"/>
      <c r="AI673" s="457"/>
      <c r="AJ673" s="457"/>
      <c r="AK673" s="457"/>
      <c r="AL673" s="457"/>
      <c r="AM673" s="457"/>
      <c r="AN673" s="457"/>
    </row>
    <row r="674" spans="1:40" s="470" customFormat="1" ht="15.75" customHeight="1" x14ac:dyDescent="0.15">
      <c r="B674" s="514" t="s">
        <v>797</v>
      </c>
      <c r="C674" s="515"/>
      <c r="D674" s="516"/>
      <c r="E674" s="517"/>
      <c r="F674" s="518"/>
      <c r="G674" s="519"/>
      <c r="H674" s="463" t="str">
        <f t="shared" si="811"/>
        <v/>
      </c>
      <c r="I674" s="520">
        <f>목록!$B$32</f>
        <v>26</v>
      </c>
      <c r="J674" s="521"/>
      <c r="K674" s="522">
        <f>SUM(K660:K673)</f>
        <v>8575</v>
      </c>
      <c r="L674" s="521"/>
      <c r="M674" s="522">
        <f>SUM(M660:M673)</f>
        <v>7315</v>
      </c>
      <c r="N674" s="521"/>
      <c r="O674" s="522">
        <f>SUM(O660:O673)</f>
        <v>0</v>
      </c>
      <c r="P674" s="523"/>
      <c r="Q674" s="512"/>
      <c r="R674" s="513"/>
      <c r="S674" s="524"/>
      <c r="T674" s="470" t="str">
        <f t="shared" si="786"/>
        <v/>
      </c>
      <c r="V674" s="549"/>
      <c r="W674" s="471">
        <f t="shared" ref="W674:X674" si="816">W673</f>
        <v>26</v>
      </c>
      <c r="X674" s="471" t="e">
        <f t="shared" si="816"/>
        <v>#REF!</v>
      </c>
      <c r="Y674" s="471" t="e">
        <f t="shared" si="788"/>
        <v>#REF!</v>
      </c>
      <c r="Z674" s="471"/>
      <c r="AA674" s="471"/>
    </row>
    <row r="675" spans="1:40" s="470" customFormat="1" ht="15.75" customHeight="1" x14ac:dyDescent="0.15">
      <c r="A675" s="457"/>
      <c r="B675" s="453"/>
      <c r="C675" s="209" t="s">
        <v>1025</v>
      </c>
      <c r="D675" s="95"/>
      <c r="E675" s="141"/>
      <c r="F675" s="94"/>
      <c r="G675" s="505"/>
      <c r="H675" s="463" t="str">
        <f t="shared" si="811"/>
        <v>※ 건축표준품셈2015년도 14-5 경량 천장 철골틀</v>
      </c>
      <c r="I675" s="451"/>
      <c r="J675" s="506"/>
      <c r="K675" s="507"/>
      <c r="L675" s="506"/>
      <c r="M675" s="507"/>
      <c r="N675" s="507"/>
      <c r="O675" s="507"/>
      <c r="P675" s="508"/>
      <c r="Q675" s="512"/>
      <c r="R675" s="513"/>
      <c r="S675" s="131"/>
      <c r="T675" s="470" t="str">
        <f t="shared" si="786"/>
        <v/>
      </c>
      <c r="V675" s="549"/>
      <c r="W675" s="615">
        <f t="shared" ref="W675:X675" si="817">W674</f>
        <v>26</v>
      </c>
      <c r="X675" s="471" t="e">
        <f t="shared" si="817"/>
        <v>#REF!</v>
      </c>
      <c r="Y675" s="471" t="e">
        <f t="shared" si="788"/>
        <v>#REF!</v>
      </c>
      <c r="Z675" s="471"/>
      <c r="AA675" s="471"/>
    </row>
    <row r="676" spans="1:40" s="470" customFormat="1" ht="15.75" customHeight="1" x14ac:dyDescent="0.15">
      <c r="B676" s="453"/>
      <c r="C676" s="209" t="s">
        <v>1026</v>
      </c>
      <c r="D676" s="95"/>
      <c r="E676" s="141"/>
      <c r="F676" s="94"/>
      <c r="G676" s="505"/>
      <c r="H676" s="463" t="str">
        <f t="shared" si="811"/>
        <v xml:space="preserve">   건축표준품셈 : 14-5 경량 천장 철골틀</v>
      </c>
      <c r="I676" s="451"/>
      <c r="J676" s="506"/>
      <c r="K676" s="507"/>
      <c r="L676" s="506"/>
      <c r="M676" s="507"/>
      <c r="N676" s="507"/>
      <c r="O676" s="507"/>
      <c r="P676" s="508"/>
      <c r="Q676" s="512"/>
      <c r="R676" s="513"/>
      <c r="S676" s="131"/>
      <c r="T676" s="470" t="str">
        <f t="shared" si="786"/>
        <v/>
      </c>
      <c r="U676" s="457"/>
      <c r="V676" s="551"/>
      <c r="W676" s="471">
        <f t="shared" ref="W676:X676" si="818">W675</f>
        <v>26</v>
      </c>
      <c r="X676" s="471" t="e">
        <f t="shared" si="818"/>
        <v>#REF!</v>
      </c>
      <c r="Y676" s="471" t="e">
        <f t="shared" si="788"/>
        <v>#REF!</v>
      </c>
      <c r="Z676" s="471"/>
      <c r="AA676" s="471"/>
      <c r="AB676" s="457"/>
      <c r="AC676" s="457"/>
      <c r="AD676" s="457"/>
      <c r="AE676" s="457"/>
      <c r="AF676" s="457"/>
      <c r="AG676" s="457"/>
      <c r="AH676" s="457"/>
      <c r="AI676" s="457"/>
      <c r="AJ676" s="457"/>
      <c r="AK676" s="457"/>
      <c r="AL676" s="457"/>
      <c r="AM676" s="457"/>
      <c r="AN676" s="457"/>
    </row>
    <row r="677" spans="1:40" s="457" customFormat="1" ht="15.75" customHeight="1" x14ac:dyDescent="0.15">
      <c r="A677" s="470"/>
      <c r="B677" s="514"/>
      <c r="C677" s="543"/>
      <c r="D677" s="516"/>
      <c r="E677" s="517"/>
      <c r="F677" s="518"/>
      <c r="G677" s="519"/>
      <c r="H677" s="463" t="str">
        <f t="shared" si="811"/>
        <v/>
      </c>
      <c r="I677" s="520"/>
      <c r="J677" s="521"/>
      <c r="K677" s="522"/>
      <c r="L677" s="521"/>
      <c r="M677" s="522"/>
      <c r="N677" s="521"/>
      <c r="O677" s="522"/>
      <c r="P677" s="523"/>
      <c r="Q677" s="512"/>
      <c r="R677" s="513"/>
      <c r="S677" s="524"/>
      <c r="T677" s="470" t="str">
        <f t="shared" si="786"/>
        <v/>
      </c>
      <c r="U677" s="470"/>
      <c r="V677" s="470"/>
      <c r="W677" s="471">
        <f t="shared" ref="W677:X677" si="819">W676</f>
        <v>26</v>
      </c>
      <c r="X677" s="471" t="e">
        <f t="shared" si="819"/>
        <v>#REF!</v>
      </c>
      <c r="Y677" s="471" t="e">
        <f t="shared" si="788"/>
        <v>#REF!</v>
      </c>
      <c r="Z677" s="471"/>
      <c r="AA677" s="471"/>
      <c r="AB677" s="470"/>
      <c r="AC677" s="470"/>
      <c r="AD677" s="470"/>
      <c r="AE677" s="470"/>
      <c r="AF677" s="470"/>
      <c r="AG677" s="470"/>
      <c r="AH677" s="470"/>
      <c r="AI677" s="470"/>
      <c r="AJ677" s="470"/>
      <c r="AK677" s="470"/>
      <c r="AL677" s="470"/>
      <c r="AM677" s="470"/>
      <c r="AN677" s="470"/>
    </row>
    <row r="678" spans="1:40" s="470" customFormat="1" ht="15.75" customHeight="1" x14ac:dyDescent="0.15">
      <c r="A678" s="457"/>
      <c r="B678" s="457"/>
      <c r="C678" s="458"/>
      <c r="D678" s="459"/>
      <c r="E678" s="460"/>
      <c r="F678" s="461"/>
      <c r="G678" s="462"/>
      <c r="H678" s="463" t="str">
        <f t="shared" ref="H678:H703" si="820">CONCATENATE(C678,E678,F678)</f>
        <v/>
      </c>
      <c r="I678" s="464"/>
      <c r="J678" s="465"/>
      <c r="K678" s="465"/>
      <c r="L678" s="465"/>
      <c r="M678" s="465"/>
      <c r="N678" s="465"/>
      <c r="O678" s="466"/>
      <c r="P678" s="467"/>
      <c r="Q678" s="468"/>
      <c r="R678" s="469"/>
      <c r="S678" s="467"/>
      <c r="T678" s="470" t="str">
        <f t="shared" ref="T678:T703" si="821">CONCATENATE(Q678,R678)</f>
        <v/>
      </c>
      <c r="W678" s="533">
        <f t="shared" ref="W678" si="822">I700</f>
        <v>27</v>
      </c>
      <c r="X678" s="533" t="e">
        <f>#REF!+1</f>
        <v>#REF!</v>
      </c>
      <c r="Y678" s="533" t="e">
        <f t="shared" ref="Y678:Y700" si="823">X678-W678</f>
        <v>#REF!</v>
      </c>
      <c r="Z678" s="533"/>
      <c r="AA678" s="533"/>
    </row>
    <row r="679" spans="1:40" s="470" customFormat="1" ht="15.75" customHeight="1" x14ac:dyDescent="0.15">
      <c r="A679" s="457"/>
      <c r="B679" s="473"/>
      <c r="C679" s="474" t="str">
        <f>"   항목번호 : "&amp;목록!L$33</f>
        <v xml:space="preserve">   항목번호 : 제27호표</v>
      </c>
      <c r="D679" s="475">
        <f>목록!B$33</f>
        <v>27</v>
      </c>
      <c r="E679" s="476"/>
      <c r="F679" s="477"/>
      <c r="G679" s="478"/>
      <c r="H679" s="463" t="str">
        <f t="shared" si="820"/>
        <v xml:space="preserve">   항목번호 : 제27호표</v>
      </c>
      <c r="I679" s="479"/>
      <c r="J679" s="480"/>
      <c r="K679" s="481"/>
      <c r="L679" s="482"/>
      <c r="M679" s="482"/>
      <c r="N679" s="482"/>
      <c r="O679" s="466"/>
      <c r="P679" s="483"/>
      <c r="Q679" s="484"/>
      <c r="R679" s="485"/>
      <c r="S679" s="483"/>
      <c r="T679" s="470" t="str">
        <f t="shared" si="821"/>
        <v/>
      </c>
      <c r="U679" s="457"/>
      <c r="V679" s="551"/>
      <c r="W679" s="471">
        <f t="shared" ref="W679:X679" si="824">W678</f>
        <v>27</v>
      </c>
      <c r="X679" s="471" t="e">
        <f t="shared" si="824"/>
        <v>#REF!</v>
      </c>
      <c r="Y679" s="471" t="e">
        <f t="shared" si="823"/>
        <v>#REF!</v>
      </c>
      <c r="Z679" s="471"/>
      <c r="AA679" s="471"/>
      <c r="AB679" s="457"/>
      <c r="AC679" s="457"/>
      <c r="AD679" s="457"/>
      <c r="AE679" s="457"/>
      <c r="AF679" s="457"/>
      <c r="AG679" s="457"/>
      <c r="AH679" s="457"/>
      <c r="AI679" s="457"/>
      <c r="AJ679" s="457"/>
      <c r="AK679" s="457"/>
      <c r="AL679" s="457"/>
      <c r="AM679" s="457"/>
      <c r="AN679" s="457"/>
    </row>
    <row r="680" spans="1:40" s="457" customFormat="1" ht="15.75" customHeight="1" x14ac:dyDescent="0.15">
      <c r="B680" s="473"/>
      <c r="C680" s="474" t="str">
        <f>"   공      종 : "&amp;목록!D$33</f>
        <v xml:space="preserve">   공      종 : AL 몰딩설치</v>
      </c>
      <c r="D680" s="484"/>
      <c r="E680" s="476"/>
      <c r="F680" s="473"/>
      <c r="G680" s="478"/>
      <c r="H680" s="463" t="str">
        <f t="shared" si="820"/>
        <v xml:space="preserve">   공      종 : AL 몰딩설치</v>
      </c>
      <c r="I680" s="479"/>
      <c r="J680" s="480"/>
      <c r="K680" s="481"/>
      <c r="L680" s="482"/>
      <c r="M680" s="482"/>
      <c r="N680" s="482"/>
      <c r="O680" s="466"/>
      <c r="P680" s="483"/>
      <c r="Q680" s="484"/>
      <c r="R680" s="485"/>
      <c r="S680" s="483"/>
      <c r="T680" s="470" t="str">
        <f t="shared" si="821"/>
        <v/>
      </c>
      <c r="V680" s="470"/>
      <c r="W680" s="471">
        <f t="shared" ref="W680:X680" si="825">W679</f>
        <v>27</v>
      </c>
      <c r="X680" s="471" t="e">
        <f t="shared" si="825"/>
        <v>#REF!</v>
      </c>
      <c r="Y680" s="471" t="e">
        <f t="shared" si="823"/>
        <v>#REF!</v>
      </c>
      <c r="Z680" s="471"/>
      <c r="AA680" s="471"/>
    </row>
    <row r="681" spans="1:40" s="457" customFormat="1" ht="15.75" customHeight="1" x14ac:dyDescent="0.15">
      <c r="B681" s="473"/>
      <c r="C681" s="474" t="str">
        <f xml:space="preserve"> "   규      격 : "&amp;목록!F$33</f>
        <v xml:space="preserve">   규      격 : M-BAR</v>
      </c>
      <c r="D681" s="484"/>
      <c r="E681" s="476"/>
      <c r="F681" s="473"/>
      <c r="G681" s="478"/>
      <c r="H681" s="463" t="str">
        <f t="shared" si="820"/>
        <v xml:space="preserve">   규      격 : M-BAR</v>
      </c>
      <c r="I681" s="479"/>
      <c r="J681" s="480" t="s">
        <v>348</v>
      </c>
      <c r="K681" s="481"/>
      <c r="L681" s="482" t="s">
        <v>349</v>
      </c>
      <c r="M681" s="482"/>
      <c r="N681" s="482" t="s">
        <v>240</v>
      </c>
      <c r="O681" s="466"/>
      <c r="P681" s="483"/>
      <c r="Q681" s="484" t="s">
        <v>752</v>
      </c>
      <c r="R681" s="484"/>
      <c r="S681" s="483"/>
      <c r="T681" s="470" t="str">
        <f t="shared" si="821"/>
        <v>합계</v>
      </c>
      <c r="V681" s="547"/>
      <c r="W681" s="471">
        <f t="shared" ref="W681:X681" si="826">W680</f>
        <v>27</v>
      </c>
      <c r="X681" s="471" t="e">
        <f t="shared" si="826"/>
        <v>#REF!</v>
      </c>
      <c r="Y681" s="471" t="e">
        <f t="shared" si="823"/>
        <v>#REF!</v>
      </c>
      <c r="Z681" s="471"/>
      <c r="AA681" s="471"/>
    </row>
    <row r="682" spans="1:40" s="457" customFormat="1" ht="15.75" customHeight="1" x14ac:dyDescent="0.15">
      <c r="B682" s="473"/>
      <c r="C682" s="474" t="str">
        <f>"   단      위 : "&amp;목록!G$33</f>
        <v xml:space="preserve">   단      위 : m</v>
      </c>
      <c r="D682" s="484"/>
      <c r="E682" s="476"/>
      <c r="F682" s="473"/>
      <c r="G682" s="478"/>
      <c r="H682" s="463" t="str">
        <f t="shared" si="820"/>
        <v xml:space="preserve">   단      위 : m</v>
      </c>
      <c r="I682" s="479"/>
      <c r="J682" s="486">
        <f>K700</f>
        <v>2534</v>
      </c>
      <c r="K682" s="481"/>
      <c r="L682" s="487">
        <f>M700</f>
        <v>5606</v>
      </c>
      <c r="M682" s="482"/>
      <c r="N682" s="482">
        <f>O700</f>
        <v>0</v>
      </c>
      <c r="O682" s="466"/>
      <c r="P682" s="483"/>
      <c r="Q682" s="488">
        <f>J682+L682+N682</f>
        <v>8140</v>
      </c>
      <c r="R682" s="489"/>
      <c r="S682" s="483"/>
      <c r="T682" s="470" t="str">
        <f t="shared" si="821"/>
        <v>8140</v>
      </c>
      <c r="V682" s="547"/>
      <c r="W682" s="471">
        <f t="shared" ref="W682:X682" si="827">W681</f>
        <v>27</v>
      </c>
      <c r="X682" s="471" t="e">
        <f t="shared" si="827"/>
        <v>#REF!</v>
      </c>
      <c r="Y682" s="471" t="e">
        <f t="shared" si="823"/>
        <v>#REF!</v>
      </c>
      <c r="Z682" s="471"/>
      <c r="AA682" s="471"/>
    </row>
    <row r="683" spans="1:40" s="457" customFormat="1" ht="15.75" customHeight="1" x14ac:dyDescent="0.15">
      <c r="B683" s="473"/>
      <c r="C683" s="474"/>
      <c r="D683" s="484"/>
      <c r="E683" s="476"/>
      <c r="F683" s="473"/>
      <c r="G683" s="490"/>
      <c r="H683" s="463" t="str">
        <f t="shared" si="820"/>
        <v/>
      </c>
      <c r="I683" s="491"/>
      <c r="J683" s="482"/>
      <c r="K683" s="465"/>
      <c r="L683" s="482"/>
      <c r="M683" s="482"/>
      <c r="N683" s="482"/>
      <c r="O683" s="466"/>
      <c r="P683" s="492"/>
      <c r="Q683" s="493"/>
      <c r="R683" s="485"/>
      <c r="S683" s="492"/>
      <c r="T683" s="470" t="str">
        <f t="shared" si="821"/>
        <v/>
      </c>
      <c r="V683" s="547"/>
      <c r="W683" s="471">
        <f t="shared" ref="W683:X683" si="828">W682</f>
        <v>27</v>
      </c>
      <c r="X683" s="471" t="e">
        <f t="shared" si="828"/>
        <v>#REF!</v>
      </c>
      <c r="Y683" s="471" t="e">
        <f t="shared" si="823"/>
        <v>#REF!</v>
      </c>
      <c r="Z683" s="471"/>
      <c r="AA683" s="471"/>
    </row>
    <row r="684" spans="1:40" s="457" customFormat="1" ht="15.75" customHeight="1" x14ac:dyDescent="0.15">
      <c r="B684" s="899" t="s">
        <v>375</v>
      </c>
      <c r="C684" s="900"/>
      <c r="D684" s="907" t="s">
        <v>356</v>
      </c>
      <c r="E684" s="908"/>
      <c r="F684" s="903" t="s">
        <v>809</v>
      </c>
      <c r="G684" s="913" t="s">
        <v>810</v>
      </c>
      <c r="H684" s="463" t="str">
        <f t="shared" si="820"/>
        <v>단위</v>
      </c>
      <c r="I684" s="494"/>
      <c r="J684" s="495" t="s">
        <v>348</v>
      </c>
      <c r="K684" s="496"/>
      <c r="L684" s="495" t="s">
        <v>349</v>
      </c>
      <c r="M684" s="496"/>
      <c r="N684" s="497" t="s">
        <v>240</v>
      </c>
      <c r="O684" s="497"/>
      <c r="P684" s="498"/>
      <c r="Q684" s="744" t="s">
        <v>355</v>
      </c>
      <c r="R684" s="744"/>
      <c r="S684" s="499"/>
      <c r="T684" s="470" t="str">
        <f t="shared" si="821"/>
        <v>비  고</v>
      </c>
      <c r="V684" s="547"/>
      <c r="W684" s="471">
        <f t="shared" ref="W684:X684" si="829">W683</f>
        <v>27</v>
      </c>
      <c r="X684" s="471" t="e">
        <f t="shared" si="829"/>
        <v>#REF!</v>
      </c>
      <c r="Y684" s="471" t="e">
        <f t="shared" si="823"/>
        <v>#REF!</v>
      </c>
      <c r="Z684" s="471"/>
      <c r="AA684" s="471"/>
    </row>
    <row r="685" spans="1:40" s="457" customFormat="1" ht="15.75" customHeight="1" x14ac:dyDescent="0.15">
      <c r="A685" s="547"/>
      <c r="B685" s="901"/>
      <c r="C685" s="902"/>
      <c r="D685" s="909"/>
      <c r="E685" s="910"/>
      <c r="F685" s="904"/>
      <c r="G685" s="914"/>
      <c r="H685" s="463" t="str">
        <f t="shared" si="820"/>
        <v/>
      </c>
      <c r="I685" s="500"/>
      <c r="J685" s="501" t="s">
        <v>353</v>
      </c>
      <c r="K685" s="501" t="s">
        <v>354</v>
      </c>
      <c r="L685" s="501" t="s">
        <v>353</v>
      </c>
      <c r="M685" s="502" t="s">
        <v>354</v>
      </c>
      <c r="N685" s="501" t="s">
        <v>353</v>
      </c>
      <c r="O685" s="501" t="s">
        <v>354</v>
      </c>
      <c r="P685" s="503"/>
      <c r="Q685" s="745"/>
      <c r="R685" s="745"/>
      <c r="S685" s="504"/>
      <c r="T685" s="470" t="str">
        <f t="shared" si="821"/>
        <v/>
      </c>
      <c r="V685" s="547"/>
      <c r="W685" s="471">
        <f t="shared" ref="W685:X685" si="830">W684</f>
        <v>27</v>
      </c>
      <c r="X685" s="471" t="e">
        <f t="shared" si="830"/>
        <v>#REF!</v>
      </c>
      <c r="Y685" s="471" t="e">
        <f t="shared" si="823"/>
        <v>#REF!</v>
      </c>
      <c r="Z685" s="471"/>
      <c r="AA685" s="471"/>
    </row>
    <row r="686" spans="1:40" s="457" customFormat="1" ht="15.75" customHeight="1" x14ac:dyDescent="0.15">
      <c r="A686" s="547"/>
      <c r="B686" s="95"/>
      <c r="C686" s="140" t="s">
        <v>894</v>
      </c>
      <c r="D686" s="95"/>
      <c r="E686" s="141" t="s">
        <v>895</v>
      </c>
      <c r="F686" s="94" t="s">
        <v>771</v>
      </c>
      <c r="G686" s="505">
        <v>1.1000000000000001</v>
      </c>
      <c r="H686" s="463" t="str">
        <f t="shared" si="820"/>
        <v>LOUVER 몰딩100*100m</v>
      </c>
      <c r="I686" s="451" t="str">
        <f>CONCATENATE(C686,E686,F686)</f>
        <v>LOUVER 몰딩100*100m</v>
      </c>
      <c r="J686" s="506">
        <f>IF(OR($F686="인",$F686=""),"",VLOOKUP($H686,단가!$A:$S,19,FALSE))</f>
        <v>2000</v>
      </c>
      <c r="K686" s="507">
        <f>IF(J686="","",TRUNC($G686*J686,0))</f>
        <v>2200</v>
      </c>
      <c r="L686" s="506" t="str">
        <f>IF($F686="인",VLOOKUP($C:$C,노임!$C:$G,4,FALSE),"")</f>
        <v/>
      </c>
      <c r="M686" s="507" t="str">
        <f>IF(L686="","",TRUNC($G686*L686,0))</f>
        <v/>
      </c>
      <c r="N686" s="507"/>
      <c r="O686" s="507" t="str">
        <f>IF(N686="","",TRUNC($G686*N686,0))</f>
        <v/>
      </c>
      <c r="P686" s="508"/>
      <c r="Q686" s="509" t="str">
        <f>IF(F686="인","노임"&amp;VLOOKUP($C:$C,노임!C:G,5,FALSE)&amp;"번","단가"&amp;VLOOKUP($H:$H,단가!$A:$B,2,FALSE)&amp;"번")</f>
        <v>단가71번</v>
      </c>
      <c r="R686" s="510"/>
      <c r="S686" s="131"/>
      <c r="T686" s="470" t="str">
        <f t="shared" si="821"/>
        <v>단가71번</v>
      </c>
      <c r="V686" s="548"/>
      <c r="W686" s="471">
        <f t="shared" ref="W686:X686" si="831">W685</f>
        <v>27</v>
      </c>
      <c r="X686" s="471" t="e">
        <f t="shared" si="831"/>
        <v>#REF!</v>
      </c>
      <c r="Y686" s="471" t="e">
        <f t="shared" si="823"/>
        <v>#REF!</v>
      </c>
      <c r="Z686" s="471"/>
      <c r="AA686" s="471"/>
    </row>
    <row r="687" spans="1:40" s="457" customFormat="1" ht="15.75" customHeight="1" x14ac:dyDescent="0.15">
      <c r="A687" s="470"/>
      <c r="B687" s="95"/>
      <c r="C687" s="140" t="s">
        <v>1028</v>
      </c>
      <c r="D687" s="95"/>
      <c r="E687" s="141" t="s">
        <v>1029</v>
      </c>
      <c r="F687" s="94" t="s">
        <v>777</v>
      </c>
      <c r="G687" s="505">
        <v>1</v>
      </c>
      <c r="H687" s="463" t="str">
        <f t="shared" si="820"/>
        <v>잡자료 및 소모재료주재료비의 5%식</v>
      </c>
      <c r="I687" s="451"/>
      <c r="J687" s="506">
        <f>TRUNC(K686*5%,0)</f>
        <v>110</v>
      </c>
      <c r="K687" s="507">
        <f>IF(J687="","",TRUNC($G687*J687,0))</f>
        <v>110</v>
      </c>
      <c r="L687" s="506"/>
      <c r="M687" s="507"/>
      <c r="N687" s="507"/>
      <c r="O687" s="507"/>
      <c r="P687" s="508"/>
      <c r="Q687" s="512"/>
      <c r="R687" s="513"/>
      <c r="S687" s="131"/>
      <c r="T687" s="470" t="str">
        <f t="shared" si="821"/>
        <v/>
      </c>
      <c r="U687" s="470"/>
      <c r="V687" s="549"/>
      <c r="W687" s="471">
        <f t="shared" ref="W687:X687" si="832">W686</f>
        <v>27</v>
      </c>
      <c r="X687" s="471" t="e">
        <f t="shared" si="832"/>
        <v>#REF!</v>
      </c>
      <c r="Y687" s="471" t="e">
        <f t="shared" si="823"/>
        <v>#REF!</v>
      </c>
      <c r="Z687" s="471"/>
      <c r="AA687" s="471"/>
      <c r="AF687" s="470"/>
      <c r="AG687" s="470"/>
      <c r="AH687" s="470"/>
      <c r="AI687" s="470"/>
      <c r="AJ687" s="470"/>
      <c r="AK687" s="470"/>
      <c r="AL687" s="470"/>
      <c r="AM687" s="470"/>
      <c r="AN687" s="470"/>
    </row>
    <row r="688" spans="1:40" s="457" customFormat="1" ht="15.75" customHeight="1" x14ac:dyDescent="0.15">
      <c r="A688" s="470"/>
      <c r="B688" s="95"/>
      <c r="C688" s="140" t="s">
        <v>882</v>
      </c>
      <c r="D688" s="95"/>
      <c r="E688" s="141"/>
      <c r="F688" s="94" t="s">
        <v>856</v>
      </c>
      <c r="G688" s="505">
        <v>3.5000000000000003E-2</v>
      </c>
      <c r="H688" s="463" t="str">
        <f>CONCATENATE(C688,E688,F688)</f>
        <v>내장공인</v>
      </c>
      <c r="I688" s="451" t="str">
        <f>CONCATENATE(C688,E688,F688)</f>
        <v>내장공인</v>
      </c>
      <c r="J688" s="506" t="str">
        <f>IF(OR($F688="인",$F688=""),"",VLOOKUP($H688,단가!$A:$S,19,FALSE))</f>
        <v/>
      </c>
      <c r="K688" s="507" t="str">
        <f>IF(J688="","",TRUNC($G688*J688,0))</f>
        <v/>
      </c>
      <c r="L688" s="506">
        <f>IF($F688="인",VLOOKUP($C:$C,노임!$C:$G,4,FALSE),"")</f>
        <v>160195</v>
      </c>
      <c r="M688" s="507">
        <f>IF(L688="","",TRUNC($G688*L688,0))</f>
        <v>5606</v>
      </c>
      <c r="N688" s="507"/>
      <c r="O688" s="507" t="str">
        <f>IF(N688="","",TRUNC($G688*N688,0))</f>
        <v/>
      </c>
      <c r="P688" s="508"/>
      <c r="Q688" s="509" t="str">
        <f>IF(F688="인","노임"&amp;VLOOKUP($C:$C,노임!C:G,5,FALSE)&amp;"번","단가"&amp;VLOOKUP($H:$H,단가!$A:$B,2,FALSE)&amp;"번")</f>
        <v>노임1030번</v>
      </c>
      <c r="R688" s="510"/>
      <c r="S688" s="131"/>
      <c r="T688" s="470" t="str">
        <f t="shared" si="821"/>
        <v>노임1030번</v>
      </c>
      <c r="V688" s="548"/>
      <c r="W688" s="471">
        <f t="shared" ref="W688:X688" si="833">W687</f>
        <v>27</v>
      </c>
      <c r="X688" s="471" t="e">
        <f t="shared" si="833"/>
        <v>#REF!</v>
      </c>
      <c r="Y688" s="471" t="e">
        <f t="shared" si="823"/>
        <v>#REF!</v>
      </c>
      <c r="Z688" s="471"/>
      <c r="AA688" s="471"/>
    </row>
    <row r="689" spans="1:40" s="470" customFormat="1" ht="15.75" customHeight="1" x14ac:dyDescent="0.15">
      <c r="B689" s="95"/>
      <c r="C689" s="140" t="s">
        <v>373</v>
      </c>
      <c r="D689" s="95"/>
      <c r="E689" s="141" t="s">
        <v>896</v>
      </c>
      <c r="F689" s="94" t="s">
        <v>777</v>
      </c>
      <c r="G689" s="505">
        <v>1</v>
      </c>
      <c r="H689" s="463" t="str">
        <f t="shared" si="820"/>
        <v>공구손료인력품의 4%식</v>
      </c>
      <c r="I689" s="451"/>
      <c r="J689" s="506">
        <f>TRUNC(M688*4%,0)</f>
        <v>224</v>
      </c>
      <c r="K689" s="507">
        <f>IF(J689="","",TRUNC($G689*J689,0))</f>
        <v>224</v>
      </c>
      <c r="L689" s="506"/>
      <c r="M689" s="507"/>
      <c r="N689" s="507"/>
      <c r="O689" s="507"/>
      <c r="P689" s="508"/>
      <c r="Q689" s="512"/>
      <c r="R689" s="534"/>
      <c r="S689" s="131"/>
      <c r="T689" s="470" t="str">
        <f t="shared" si="821"/>
        <v/>
      </c>
      <c r="V689" s="549"/>
      <c r="W689" s="471">
        <f t="shared" ref="W689:X689" si="834">W688</f>
        <v>27</v>
      </c>
      <c r="X689" s="471" t="e">
        <f t="shared" si="834"/>
        <v>#REF!</v>
      </c>
      <c r="Y689" s="471" t="e">
        <f t="shared" si="823"/>
        <v>#REF!</v>
      </c>
      <c r="Z689" s="471"/>
      <c r="AA689" s="471"/>
    </row>
    <row r="690" spans="1:40" s="470" customFormat="1" ht="15.75" customHeight="1" x14ac:dyDescent="0.15">
      <c r="B690" s="95"/>
      <c r="C690" s="140"/>
      <c r="D690" s="95"/>
      <c r="E690" s="141"/>
      <c r="F690" s="94"/>
      <c r="G690" s="505"/>
      <c r="H690" s="463" t="str">
        <f t="shared" si="820"/>
        <v/>
      </c>
      <c r="I690" s="451"/>
      <c r="J690" s="506"/>
      <c r="K690" s="507"/>
      <c r="L690" s="506"/>
      <c r="M690" s="507"/>
      <c r="N690" s="507"/>
      <c r="O690" s="507"/>
      <c r="P690" s="508"/>
      <c r="Q690" s="512"/>
      <c r="R690" s="534"/>
      <c r="S690" s="131"/>
      <c r="T690" s="470" t="str">
        <f t="shared" si="821"/>
        <v/>
      </c>
      <c r="V690" s="549"/>
      <c r="W690" s="471">
        <f t="shared" ref="W690:X690" si="835">W689</f>
        <v>27</v>
      </c>
      <c r="X690" s="471" t="e">
        <f t="shared" si="835"/>
        <v>#REF!</v>
      </c>
      <c r="Y690" s="471" t="e">
        <f t="shared" si="823"/>
        <v>#REF!</v>
      </c>
      <c r="Z690" s="471"/>
      <c r="AA690" s="471"/>
    </row>
    <row r="691" spans="1:40" s="470" customFormat="1" ht="15.75" customHeight="1" x14ac:dyDescent="0.15">
      <c r="B691" s="95"/>
      <c r="C691" s="140"/>
      <c r="D691" s="95"/>
      <c r="E691" s="141"/>
      <c r="F691" s="94"/>
      <c r="G691" s="505"/>
      <c r="H691" s="463" t="str">
        <f t="shared" si="820"/>
        <v/>
      </c>
      <c r="I691" s="451"/>
      <c r="J691" s="506"/>
      <c r="K691" s="507"/>
      <c r="L691" s="506"/>
      <c r="M691" s="507"/>
      <c r="N691" s="507"/>
      <c r="O691" s="507"/>
      <c r="P691" s="508"/>
      <c r="Q691" s="512"/>
      <c r="R691" s="534"/>
      <c r="S691" s="131"/>
      <c r="T691" s="470" t="str">
        <f t="shared" si="821"/>
        <v/>
      </c>
      <c r="V691" s="549"/>
      <c r="W691" s="471">
        <f t="shared" ref="W691:X691" si="836">W690</f>
        <v>27</v>
      </c>
      <c r="X691" s="471" t="e">
        <f t="shared" si="836"/>
        <v>#REF!</v>
      </c>
      <c r="Y691" s="471" t="e">
        <f t="shared" si="823"/>
        <v>#REF!</v>
      </c>
      <c r="Z691" s="471"/>
      <c r="AA691" s="471"/>
    </row>
    <row r="692" spans="1:40" s="470" customFormat="1" ht="15.75" customHeight="1" x14ac:dyDescent="0.15">
      <c r="B692" s="95"/>
      <c r="C692" s="140"/>
      <c r="D692" s="95"/>
      <c r="E692" s="141"/>
      <c r="F692" s="94"/>
      <c r="G692" s="505"/>
      <c r="H692" s="463" t="str">
        <f t="shared" si="820"/>
        <v/>
      </c>
      <c r="I692" s="451"/>
      <c r="J692" s="506"/>
      <c r="K692" s="507"/>
      <c r="L692" s="506"/>
      <c r="M692" s="507"/>
      <c r="N692" s="507"/>
      <c r="O692" s="507"/>
      <c r="P692" s="508"/>
      <c r="Q692" s="512"/>
      <c r="R692" s="513"/>
      <c r="S692" s="131"/>
      <c r="T692" s="470" t="str">
        <f t="shared" si="821"/>
        <v/>
      </c>
      <c r="V692" s="549"/>
      <c r="W692" s="471">
        <f t="shared" ref="W692:X692" si="837">W691</f>
        <v>27</v>
      </c>
      <c r="X692" s="471" t="e">
        <f t="shared" si="837"/>
        <v>#REF!</v>
      </c>
      <c r="Y692" s="471" t="e">
        <f t="shared" si="823"/>
        <v>#REF!</v>
      </c>
      <c r="Z692" s="471"/>
      <c r="AA692" s="471"/>
    </row>
    <row r="693" spans="1:40" s="470" customFormat="1" ht="15.75" customHeight="1" x14ac:dyDescent="0.15">
      <c r="B693" s="95"/>
      <c r="C693" s="140"/>
      <c r="D693" s="95"/>
      <c r="E693" s="141"/>
      <c r="F693" s="94"/>
      <c r="G693" s="505"/>
      <c r="H693" s="463" t="str">
        <f t="shared" si="820"/>
        <v/>
      </c>
      <c r="I693" s="451"/>
      <c r="J693" s="506"/>
      <c r="K693" s="507"/>
      <c r="L693" s="506"/>
      <c r="M693" s="507"/>
      <c r="N693" s="507"/>
      <c r="O693" s="507"/>
      <c r="P693" s="508"/>
      <c r="Q693" s="512"/>
      <c r="R693" s="513"/>
      <c r="S693" s="131"/>
      <c r="T693" s="470" t="str">
        <f t="shared" si="821"/>
        <v/>
      </c>
      <c r="V693" s="549"/>
      <c r="W693" s="471">
        <f t="shared" ref="W693:X693" si="838">W692</f>
        <v>27</v>
      </c>
      <c r="X693" s="471" t="e">
        <f t="shared" si="838"/>
        <v>#REF!</v>
      </c>
      <c r="Y693" s="471" t="e">
        <f t="shared" si="823"/>
        <v>#REF!</v>
      </c>
      <c r="Z693" s="471"/>
      <c r="AA693" s="471"/>
      <c r="AC693" s="435"/>
      <c r="AD693" s="435"/>
      <c r="AE693" s="435"/>
    </row>
    <row r="694" spans="1:40" s="470" customFormat="1" ht="15.75" customHeight="1" x14ac:dyDescent="0.15">
      <c r="B694" s="95"/>
      <c r="C694" s="140"/>
      <c r="D694" s="95"/>
      <c r="E694" s="141"/>
      <c r="F694" s="94"/>
      <c r="G694" s="505"/>
      <c r="H694" s="463" t="str">
        <f t="shared" si="820"/>
        <v/>
      </c>
      <c r="I694" s="451"/>
      <c r="J694" s="506"/>
      <c r="K694" s="507"/>
      <c r="L694" s="506"/>
      <c r="M694" s="507"/>
      <c r="N694" s="507"/>
      <c r="O694" s="507"/>
      <c r="P694" s="508"/>
      <c r="Q694" s="512"/>
      <c r="R694" s="513"/>
      <c r="S694" s="131"/>
      <c r="T694" s="470" t="str">
        <f t="shared" si="821"/>
        <v/>
      </c>
      <c r="V694" s="549"/>
      <c r="W694" s="471">
        <f t="shared" ref="W694:X694" si="839">W693</f>
        <v>27</v>
      </c>
      <c r="X694" s="471" t="e">
        <f t="shared" si="839"/>
        <v>#REF!</v>
      </c>
      <c r="Y694" s="471" t="e">
        <f t="shared" si="823"/>
        <v>#REF!</v>
      </c>
      <c r="Z694" s="471"/>
      <c r="AA694" s="471"/>
    </row>
    <row r="695" spans="1:40" s="470" customFormat="1" ht="15.75" customHeight="1" x14ac:dyDescent="0.15">
      <c r="B695" s="95"/>
      <c r="C695" s="140"/>
      <c r="D695" s="95"/>
      <c r="E695" s="141"/>
      <c r="F695" s="94"/>
      <c r="G695" s="505"/>
      <c r="H695" s="463" t="str">
        <f t="shared" si="820"/>
        <v/>
      </c>
      <c r="I695" s="451"/>
      <c r="J695" s="506"/>
      <c r="K695" s="507"/>
      <c r="L695" s="506"/>
      <c r="M695" s="507"/>
      <c r="N695" s="507"/>
      <c r="O695" s="507"/>
      <c r="P695" s="508"/>
      <c r="Q695" s="512"/>
      <c r="R695" s="513"/>
      <c r="S695" s="131"/>
      <c r="T695" s="470" t="str">
        <f t="shared" si="821"/>
        <v/>
      </c>
      <c r="V695" s="549"/>
      <c r="W695" s="471">
        <f t="shared" ref="W695:X695" si="840">W694</f>
        <v>27</v>
      </c>
      <c r="X695" s="471" t="e">
        <f t="shared" si="840"/>
        <v>#REF!</v>
      </c>
      <c r="Y695" s="471" t="e">
        <f t="shared" si="823"/>
        <v>#REF!</v>
      </c>
      <c r="Z695" s="471"/>
      <c r="AA695" s="471"/>
    </row>
    <row r="696" spans="1:40" s="470" customFormat="1" ht="15.75" customHeight="1" x14ac:dyDescent="0.15">
      <c r="B696" s="95"/>
      <c r="C696" s="140"/>
      <c r="D696" s="95"/>
      <c r="E696" s="141"/>
      <c r="F696" s="94"/>
      <c r="G696" s="505"/>
      <c r="H696" s="463" t="str">
        <f t="shared" si="820"/>
        <v/>
      </c>
      <c r="I696" s="451"/>
      <c r="J696" s="506"/>
      <c r="K696" s="507"/>
      <c r="L696" s="506"/>
      <c r="M696" s="507"/>
      <c r="N696" s="507"/>
      <c r="O696" s="507"/>
      <c r="P696" s="508"/>
      <c r="Q696" s="512"/>
      <c r="R696" s="513"/>
      <c r="S696" s="131"/>
      <c r="T696" s="470" t="str">
        <f t="shared" si="821"/>
        <v/>
      </c>
      <c r="V696" s="549"/>
      <c r="W696" s="471">
        <f t="shared" ref="W696:X696" si="841">W695</f>
        <v>27</v>
      </c>
      <c r="X696" s="471" t="e">
        <f t="shared" si="841"/>
        <v>#REF!</v>
      </c>
      <c r="Y696" s="471" t="e">
        <f t="shared" si="823"/>
        <v>#REF!</v>
      </c>
      <c r="Z696" s="471"/>
      <c r="AA696" s="471"/>
    </row>
    <row r="697" spans="1:40" s="470" customFormat="1" ht="15.75" customHeight="1" x14ac:dyDescent="0.15">
      <c r="B697" s="95"/>
      <c r="C697" s="140"/>
      <c r="D697" s="95"/>
      <c r="E697" s="141"/>
      <c r="F697" s="94"/>
      <c r="G697" s="505"/>
      <c r="H697" s="463" t="str">
        <f t="shared" si="820"/>
        <v/>
      </c>
      <c r="I697" s="451"/>
      <c r="J697" s="506"/>
      <c r="K697" s="507"/>
      <c r="L697" s="506"/>
      <c r="M697" s="507"/>
      <c r="N697" s="507"/>
      <c r="O697" s="507"/>
      <c r="P697" s="508"/>
      <c r="Q697" s="512"/>
      <c r="R697" s="513"/>
      <c r="S697" s="131"/>
      <c r="T697" s="470" t="str">
        <f t="shared" si="821"/>
        <v/>
      </c>
      <c r="V697" s="549"/>
      <c r="W697" s="471">
        <f t="shared" ref="W697:X697" si="842">W696</f>
        <v>27</v>
      </c>
      <c r="X697" s="471" t="e">
        <f t="shared" si="842"/>
        <v>#REF!</v>
      </c>
      <c r="Y697" s="471" t="e">
        <f t="shared" si="823"/>
        <v>#REF!</v>
      </c>
      <c r="Z697" s="471"/>
      <c r="AA697" s="471"/>
    </row>
    <row r="698" spans="1:40" s="470" customFormat="1" ht="15.75" customHeight="1" x14ac:dyDescent="0.15">
      <c r="B698" s="95"/>
      <c r="C698" s="140"/>
      <c r="D698" s="95"/>
      <c r="E698" s="141"/>
      <c r="F698" s="94"/>
      <c r="G698" s="505"/>
      <c r="H698" s="463" t="str">
        <f t="shared" si="820"/>
        <v/>
      </c>
      <c r="I698" s="451"/>
      <c r="J698" s="506"/>
      <c r="K698" s="507"/>
      <c r="L698" s="506"/>
      <c r="M698" s="507"/>
      <c r="N698" s="507"/>
      <c r="O698" s="507"/>
      <c r="P698" s="508"/>
      <c r="Q698" s="512"/>
      <c r="R698" s="513"/>
      <c r="S698" s="131"/>
      <c r="T698" s="470" t="str">
        <f t="shared" si="821"/>
        <v/>
      </c>
      <c r="V698" s="549"/>
      <c r="W698" s="471">
        <f t="shared" ref="W698:X698" si="843">W697</f>
        <v>27</v>
      </c>
      <c r="X698" s="471" t="e">
        <f t="shared" si="843"/>
        <v>#REF!</v>
      </c>
      <c r="Y698" s="471" t="e">
        <f t="shared" si="823"/>
        <v>#REF!</v>
      </c>
      <c r="Z698" s="471"/>
      <c r="AA698" s="471"/>
    </row>
    <row r="699" spans="1:40" s="470" customFormat="1" ht="15.75" customHeight="1" x14ac:dyDescent="0.15">
      <c r="B699" s="95"/>
      <c r="C699" s="140"/>
      <c r="D699" s="95"/>
      <c r="E699" s="141"/>
      <c r="F699" s="94"/>
      <c r="G699" s="505"/>
      <c r="H699" s="463" t="str">
        <f t="shared" si="820"/>
        <v/>
      </c>
      <c r="I699" s="451"/>
      <c r="J699" s="506"/>
      <c r="K699" s="507"/>
      <c r="L699" s="506"/>
      <c r="M699" s="507"/>
      <c r="N699" s="507"/>
      <c r="O699" s="507"/>
      <c r="P699" s="508"/>
      <c r="Q699" s="512"/>
      <c r="R699" s="513"/>
      <c r="S699" s="131"/>
      <c r="T699" s="470" t="str">
        <f t="shared" si="821"/>
        <v/>
      </c>
      <c r="V699" s="549"/>
      <c r="W699" s="471">
        <f t="shared" ref="W699:X699" si="844">W698</f>
        <v>27</v>
      </c>
      <c r="X699" s="471" t="e">
        <f t="shared" si="844"/>
        <v>#REF!</v>
      </c>
      <c r="Y699" s="471" t="e">
        <f t="shared" si="823"/>
        <v>#REF!</v>
      </c>
      <c r="Z699" s="471"/>
      <c r="AA699" s="471"/>
    </row>
    <row r="700" spans="1:40" s="470" customFormat="1" ht="15.75" customHeight="1" x14ac:dyDescent="0.15">
      <c r="B700" s="514" t="s">
        <v>751</v>
      </c>
      <c r="C700" s="515"/>
      <c r="D700" s="516"/>
      <c r="E700" s="517"/>
      <c r="F700" s="518"/>
      <c r="G700" s="519"/>
      <c r="H700" s="463" t="str">
        <f t="shared" si="820"/>
        <v/>
      </c>
      <c r="I700" s="520">
        <f>목록!$B$33</f>
        <v>27</v>
      </c>
      <c r="J700" s="521"/>
      <c r="K700" s="522">
        <f>SUM(K686:K699)</f>
        <v>2534</v>
      </c>
      <c r="L700" s="521"/>
      <c r="M700" s="522">
        <f>SUM(M686:M699)</f>
        <v>5606</v>
      </c>
      <c r="N700" s="521"/>
      <c r="O700" s="522">
        <f>SUM(O686:O699)</f>
        <v>0</v>
      </c>
      <c r="P700" s="523"/>
      <c r="Q700" s="512"/>
      <c r="R700" s="513"/>
      <c r="S700" s="524"/>
      <c r="T700" s="470" t="str">
        <f t="shared" si="821"/>
        <v/>
      </c>
      <c r="V700" s="549"/>
      <c r="W700" s="471">
        <f t="shared" ref="W700:X700" si="845">W699</f>
        <v>27</v>
      </c>
      <c r="X700" s="471" t="e">
        <f t="shared" si="845"/>
        <v>#REF!</v>
      </c>
      <c r="Y700" s="471" t="e">
        <f t="shared" si="823"/>
        <v>#REF!</v>
      </c>
      <c r="Z700" s="471"/>
      <c r="AA700" s="471"/>
    </row>
    <row r="701" spans="1:40" s="470" customFormat="1" ht="15.75" customHeight="1" x14ac:dyDescent="0.15">
      <c r="A701" s="457"/>
      <c r="B701" s="453"/>
      <c r="C701" s="209"/>
      <c r="D701" s="95"/>
      <c r="E701" s="141"/>
      <c r="F701" s="94"/>
      <c r="G701" s="505"/>
      <c r="H701" s="463" t="str">
        <f t="shared" si="820"/>
        <v/>
      </c>
      <c r="I701" s="451"/>
      <c r="J701" s="506"/>
      <c r="K701" s="507"/>
      <c r="L701" s="506"/>
      <c r="M701" s="507"/>
      <c r="N701" s="507"/>
      <c r="O701" s="507"/>
      <c r="P701" s="508"/>
      <c r="Q701" s="512"/>
      <c r="R701" s="513"/>
      <c r="S701" s="131"/>
      <c r="T701" s="470" t="str">
        <f t="shared" si="821"/>
        <v/>
      </c>
      <c r="V701" s="549"/>
      <c r="W701" s="615">
        <f t="shared" ref="W701:X701" si="846">W700</f>
        <v>27</v>
      </c>
      <c r="X701" s="471" t="e">
        <f t="shared" si="846"/>
        <v>#REF!</v>
      </c>
      <c r="Y701" s="471" t="e">
        <f t="shared" ref="Y701:Y764" si="847">X701-W701</f>
        <v>#REF!</v>
      </c>
      <c r="Z701" s="471"/>
      <c r="AA701" s="471"/>
    </row>
    <row r="702" spans="1:40" s="470" customFormat="1" ht="15.75" customHeight="1" x14ac:dyDescent="0.15">
      <c r="B702" s="453"/>
      <c r="C702" s="209" t="s">
        <v>1022</v>
      </c>
      <c r="D702" s="95"/>
      <c r="E702" s="141"/>
      <c r="F702" s="94"/>
      <c r="G702" s="505"/>
      <c r="H702" s="463" t="str">
        <f t="shared" si="820"/>
        <v xml:space="preserve">※ 건축표준품셈 14-7 조이너 및 몰딩 </v>
      </c>
      <c r="I702" s="451"/>
      <c r="J702" s="506"/>
      <c r="K702" s="507"/>
      <c r="L702" s="506"/>
      <c r="M702" s="507"/>
      <c r="N702" s="507"/>
      <c r="O702" s="507"/>
      <c r="P702" s="508"/>
      <c r="Q702" s="512"/>
      <c r="R702" s="513"/>
      <c r="S702" s="131"/>
      <c r="T702" s="470" t="str">
        <f t="shared" si="821"/>
        <v/>
      </c>
      <c r="U702" s="457"/>
      <c r="V702" s="551"/>
      <c r="W702" s="471">
        <f t="shared" ref="W702:X702" si="848">W701</f>
        <v>27</v>
      </c>
      <c r="X702" s="471" t="e">
        <f t="shared" si="848"/>
        <v>#REF!</v>
      </c>
      <c r="Y702" s="471" t="e">
        <f t="shared" si="847"/>
        <v>#REF!</v>
      </c>
      <c r="Z702" s="471"/>
      <c r="AA702" s="471"/>
      <c r="AB702" s="457"/>
      <c r="AC702" s="457"/>
      <c r="AD702" s="457"/>
      <c r="AE702" s="457"/>
      <c r="AF702" s="457"/>
      <c r="AG702" s="457"/>
      <c r="AH702" s="457"/>
      <c r="AI702" s="457"/>
      <c r="AJ702" s="457"/>
      <c r="AK702" s="457"/>
      <c r="AL702" s="457"/>
      <c r="AM702" s="457"/>
      <c r="AN702" s="457"/>
    </row>
    <row r="703" spans="1:40" s="457" customFormat="1" ht="15.75" customHeight="1" x14ac:dyDescent="0.15">
      <c r="A703" s="470"/>
      <c r="B703" s="514"/>
      <c r="C703" s="515"/>
      <c r="D703" s="516"/>
      <c r="E703" s="517"/>
      <c r="F703" s="518"/>
      <c r="G703" s="519"/>
      <c r="H703" s="463" t="str">
        <f t="shared" si="820"/>
        <v/>
      </c>
      <c r="I703" s="520"/>
      <c r="J703" s="521"/>
      <c r="K703" s="522"/>
      <c r="L703" s="521"/>
      <c r="M703" s="522"/>
      <c r="N703" s="521"/>
      <c r="O703" s="522"/>
      <c r="P703" s="523"/>
      <c r="Q703" s="512"/>
      <c r="R703" s="513"/>
      <c r="S703" s="524"/>
      <c r="T703" s="470" t="str">
        <f t="shared" si="821"/>
        <v/>
      </c>
      <c r="U703" s="470"/>
      <c r="V703" s="470"/>
      <c r="W703" s="471">
        <f t="shared" ref="W703:X703" si="849">W702</f>
        <v>27</v>
      </c>
      <c r="X703" s="471" t="e">
        <f t="shared" si="849"/>
        <v>#REF!</v>
      </c>
      <c r="Y703" s="471" t="e">
        <f t="shared" si="847"/>
        <v>#REF!</v>
      </c>
      <c r="Z703" s="471"/>
      <c r="AA703" s="471"/>
      <c r="AB703" s="470"/>
      <c r="AC703" s="470"/>
      <c r="AD703" s="470"/>
      <c r="AE703" s="470"/>
      <c r="AF703" s="470"/>
      <c r="AG703" s="470"/>
      <c r="AH703" s="470"/>
      <c r="AI703" s="470"/>
      <c r="AJ703" s="470"/>
      <c r="AK703" s="470"/>
      <c r="AL703" s="470"/>
      <c r="AM703" s="470"/>
      <c r="AN703" s="470"/>
    </row>
    <row r="704" spans="1:40" s="470" customFormat="1" ht="15.75" customHeight="1" x14ac:dyDescent="0.15">
      <c r="A704" s="457"/>
      <c r="B704" s="457"/>
      <c r="C704" s="458"/>
      <c r="D704" s="459"/>
      <c r="E704" s="460"/>
      <c r="F704" s="461"/>
      <c r="G704" s="462"/>
      <c r="H704" s="463" t="str">
        <f t="shared" ref="H704:H729" si="850">CONCATENATE(C704,E704,F704)</f>
        <v/>
      </c>
      <c r="I704" s="464"/>
      <c r="J704" s="465"/>
      <c r="K704" s="465"/>
      <c r="L704" s="465"/>
      <c r="M704" s="465"/>
      <c r="N704" s="465"/>
      <c r="O704" s="466"/>
      <c r="P704" s="467"/>
      <c r="Q704" s="468"/>
      <c r="R704" s="469"/>
      <c r="S704" s="467"/>
      <c r="T704" s="470" t="str">
        <f t="shared" ref="T704:T729" si="851">CONCATENATE(Q704,R704)</f>
        <v/>
      </c>
      <c r="W704" s="533">
        <f t="shared" ref="W704" si="852">I726</f>
        <v>28</v>
      </c>
      <c r="X704" s="533" t="e">
        <f t="shared" ref="X704" si="853">X703+1</f>
        <v>#REF!</v>
      </c>
      <c r="Y704" s="533" t="e">
        <f t="shared" si="847"/>
        <v>#REF!</v>
      </c>
      <c r="Z704" s="533"/>
      <c r="AA704" s="533"/>
    </row>
    <row r="705" spans="1:40" s="470" customFormat="1" ht="15.75" customHeight="1" x14ac:dyDescent="0.15">
      <c r="A705" s="457"/>
      <c r="B705" s="473"/>
      <c r="C705" s="474" t="str">
        <f>"   항목번호 : "&amp;목록!L$34</f>
        <v xml:space="preserve">   항목번호 : 제28호표</v>
      </c>
      <c r="D705" s="475">
        <f>목록!B$34</f>
        <v>28</v>
      </c>
      <c r="E705" s="476"/>
      <c r="F705" s="477"/>
      <c r="G705" s="478"/>
      <c r="H705" s="463" t="str">
        <f t="shared" si="850"/>
        <v xml:space="preserve">   항목번호 : 제28호표</v>
      </c>
      <c r="I705" s="479"/>
      <c r="J705" s="480"/>
      <c r="K705" s="481"/>
      <c r="L705" s="482"/>
      <c r="M705" s="482"/>
      <c r="N705" s="482"/>
      <c r="O705" s="466"/>
      <c r="P705" s="483"/>
      <c r="Q705" s="484"/>
      <c r="R705" s="485"/>
      <c r="S705" s="483"/>
      <c r="T705" s="470" t="str">
        <f t="shared" si="851"/>
        <v/>
      </c>
      <c r="U705" s="457"/>
      <c r="V705" s="551"/>
      <c r="W705" s="471">
        <f t="shared" ref="W705:X705" si="854">W704</f>
        <v>28</v>
      </c>
      <c r="X705" s="471" t="e">
        <f t="shared" si="854"/>
        <v>#REF!</v>
      </c>
      <c r="Y705" s="471" t="e">
        <f t="shared" si="847"/>
        <v>#REF!</v>
      </c>
      <c r="Z705" s="471"/>
      <c r="AA705" s="471"/>
      <c r="AB705" s="457"/>
      <c r="AF705" s="457"/>
      <c r="AG705" s="457"/>
      <c r="AH705" s="457"/>
      <c r="AI705" s="457"/>
      <c r="AJ705" s="457"/>
      <c r="AK705" s="457"/>
      <c r="AL705" s="457"/>
      <c r="AM705" s="457"/>
      <c r="AN705" s="457"/>
    </row>
    <row r="706" spans="1:40" s="457" customFormat="1" ht="15.75" customHeight="1" x14ac:dyDescent="0.15">
      <c r="B706" s="473"/>
      <c r="C706" s="474" t="str">
        <f>"   공      종 : "&amp;목록!D$34</f>
        <v xml:space="preserve">   공      종 : 경량벽체틀(C-65)</v>
      </c>
      <c r="D706" s="484"/>
      <c r="E706" s="476"/>
      <c r="F706" s="473"/>
      <c r="G706" s="478"/>
      <c r="H706" s="463" t="str">
        <f t="shared" si="850"/>
        <v xml:space="preserve">   공      종 : 경량벽체틀(C-65)</v>
      </c>
      <c r="I706" s="479"/>
      <c r="J706" s="480"/>
      <c r="K706" s="481"/>
      <c r="L706" s="482"/>
      <c r="M706" s="482"/>
      <c r="N706" s="482"/>
      <c r="O706" s="466"/>
      <c r="P706" s="483"/>
      <c r="Q706" s="484"/>
      <c r="R706" s="485"/>
      <c r="S706" s="483"/>
      <c r="T706" s="470" t="str">
        <f t="shared" si="851"/>
        <v/>
      </c>
      <c r="V706" s="470"/>
      <c r="W706" s="471">
        <f t="shared" ref="W706:X706" si="855">W705</f>
        <v>28</v>
      </c>
      <c r="X706" s="471" t="e">
        <f t="shared" si="855"/>
        <v>#REF!</v>
      </c>
      <c r="Y706" s="471" t="e">
        <f t="shared" si="847"/>
        <v>#REF!</v>
      </c>
      <c r="Z706" s="471"/>
      <c r="AA706" s="471"/>
      <c r="AC706" s="470"/>
      <c r="AD706" s="470"/>
      <c r="AE706" s="470"/>
    </row>
    <row r="707" spans="1:40" s="457" customFormat="1" ht="15.75" customHeight="1" x14ac:dyDescent="0.15">
      <c r="B707" s="473"/>
      <c r="C707" s="474" t="str">
        <f xml:space="preserve"> "   규      격 : "&amp;목록!F$34</f>
        <v xml:space="preserve">   규      격 : 65*45*0.8T</v>
      </c>
      <c r="D707" s="484"/>
      <c r="E707" s="476"/>
      <c r="F707" s="473"/>
      <c r="G707" s="478"/>
      <c r="H707" s="463" t="str">
        <f t="shared" si="850"/>
        <v xml:space="preserve">   규      격 : 65*45*0.8T</v>
      </c>
      <c r="I707" s="479"/>
      <c r="J707" s="480" t="s">
        <v>348</v>
      </c>
      <c r="K707" s="481"/>
      <c r="L707" s="482" t="s">
        <v>349</v>
      </c>
      <c r="M707" s="482"/>
      <c r="N707" s="482" t="s">
        <v>240</v>
      </c>
      <c r="O707" s="466"/>
      <c r="P707" s="483"/>
      <c r="Q707" s="484" t="s">
        <v>752</v>
      </c>
      <c r="R707" s="484"/>
      <c r="S707" s="483"/>
      <c r="T707" s="470" t="str">
        <f t="shared" si="851"/>
        <v>합계</v>
      </c>
      <c r="V707" s="547"/>
      <c r="W707" s="471">
        <f t="shared" ref="W707:X707" si="856">W706</f>
        <v>28</v>
      </c>
      <c r="X707" s="471" t="e">
        <f t="shared" si="856"/>
        <v>#REF!</v>
      </c>
      <c r="Y707" s="471" t="e">
        <f t="shared" si="847"/>
        <v>#REF!</v>
      </c>
      <c r="Z707" s="471"/>
      <c r="AA707" s="471"/>
    </row>
    <row r="708" spans="1:40" s="457" customFormat="1" ht="15.75" customHeight="1" x14ac:dyDescent="0.15">
      <c r="B708" s="473"/>
      <c r="C708" s="474" t="str">
        <f>"   단      위 : "&amp;목록!G$34</f>
        <v xml:space="preserve">   단      위 : ㎡</v>
      </c>
      <c r="D708" s="484"/>
      <c r="E708" s="476"/>
      <c r="F708" s="473"/>
      <c r="G708" s="478"/>
      <c r="H708" s="463" t="str">
        <f t="shared" si="850"/>
        <v xml:space="preserve">   단      위 : ㎡</v>
      </c>
      <c r="I708" s="479"/>
      <c r="J708" s="486">
        <f>K726</f>
        <v>8382</v>
      </c>
      <c r="K708" s="481"/>
      <c r="L708" s="487">
        <f>M726</f>
        <v>15610</v>
      </c>
      <c r="M708" s="482"/>
      <c r="N708" s="482">
        <f>O726</f>
        <v>0</v>
      </c>
      <c r="O708" s="466"/>
      <c r="P708" s="483"/>
      <c r="Q708" s="488">
        <f>J708+L708+N708</f>
        <v>23992</v>
      </c>
      <c r="R708" s="489"/>
      <c r="S708" s="483"/>
      <c r="T708" s="470" t="str">
        <f t="shared" si="851"/>
        <v>23992</v>
      </c>
      <c r="V708" s="547"/>
      <c r="W708" s="471">
        <f t="shared" ref="W708:X708" si="857">W707</f>
        <v>28</v>
      </c>
      <c r="X708" s="471" t="e">
        <f t="shared" si="857"/>
        <v>#REF!</v>
      </c>
      <c r="Y708" s="471" t="e">
        <f t="shared" si="847"/>
        <v>#REF!</v>
      </c>
      <c r="Z708" s="471"/>
      <c r="AA708" s="471"/>
    </row>
    <row r="709" spans="1:40" s="457" customFormat="1" ht="15.75" customHeight="1" x14ac:dyDescent="0.15">
      <c r="B709" s="473"/>
      <c r="C709" s="474"/>
      <c r="D709" s="484"/>
      <c r="E709" s="476"/>
      <c r="F709" s="473"/>
      <c r="G709" s="490"/>
      <c r="H709" s="463" t="str">
        <f t="shared" si="850"/>
        <v/>
      </c>
      <c r="I709" s="491"/>
      <c r="J709" s="482"/>
      <c r="K709" s="465"/>
      <c r="L709" s="482"/>
      <c r="M709" s="482"/>
      <c r="N709" s="482"/>
      <c r="O709" s="466"/>
      <c r="P709" s="492"/>
      <c r="Q709" s="493"/>
      <c r="R709" s="485"/>
      <c r="S709" s="492"/>
      <c r="T709" s="470" t="str">
        <f t="shared" si="851"/>
        <v/>
      </c>
      <c r="V709" s="547"/>
      <c r="W709" s="471">
        <f t="shared" ref="W709:X709" si="858">W708</f>
        <v>28</v>
      </c>
      <c r="X709" s="471" t="e">
        <f t="shared" si="858"/>
        <v>#REF!</v>
      </c>
      <c r="Y709" s="471" t="e">
        <f t="shared" si="847"/>
        <v>#REF!</v>
      </c>
      <c r="Z709" s="471"/>
      <c r="AA709" s="471"/>
    </row>
    <row r="710" spans="1:40" s="457" customFormat="1" ht="15.75" customHeight="1" x14ac:dyDescent="0.15">
      <c r="B710" s="899" t="s">
        <v>375</v>
      </c>
      <c r="C710" s="900"/>
      <c r="D710" s="907" t="s">
        <v>356</v>
      </c>
      <c r="E710" s="908"/>
      <c r="F710" s="903" t="s">
        <v>782</v>
      </c>
      <c r="G710" s="913" t="s">
        <v>783</v>
      </c>
      <c r="H710" s="463" t="str">
        <f t="shared" si="850"/>
        <v>단위</v>
      </c>
      <c r="I710" s="494"/>
      <c r="J710" s="495" t="s">
        <v>348</v>
      </c>
      <c r="K710" s="496"/>
      <c r="L710" s="495" t="s">
        <v>349</v>
      </c>
      <c r="M710" s="496"/>
      <c r="N710" s="497" t="s">
        <v>240</v>
      </c>
      <c r="O710" s="497"/>
      <c r="P710" s="498"/>
      <c r="Q710" s="744" t="s">
        <v>355</v>
      </c>
      <c r="R710" s="744"/>
      <c r="S710" s="499"/>
      <c r="T710" s="470" t="str">
        <f t="shared" si="851"/>
        <v>비  고</v>
      </c>
      <c r="V710" s="547"/>
      <c r="W710" s="471">
        <f t="shared" ref="W710:X710" si="859">W709</f>
        <v>28</v>
      </c>
      <c r="X710" s="471" t="e">
        <f t="shared" si="859"/>
        <v>#REF!</v>
      </c>
      <c r="Y710" s="471" t="e">
        <f t="shared" si="847"/>
        <v>#REF!</v>
      </c>
      <c r="Z710" s="471"/>
      <c r="AA710" s="471"/>
    </row>
    <row r="711" spans="1:40" s="457" customFormat="1" ht="15.75" customHeight="1" x14ac:dyDescent="0.15">
      <c r="A711" s="547"/>
      <c r="B711" s="901"/>
      <c r="C711" s="902"/>
      <c r="D711" s="909"/>
      <c r="E711" s="910"/>
      <c r="F711" s="904"/>
      <c r="G711" s="914"/>
      <c r="H711" s="463" t="str">
        <f t="shared" si="850"/>
        <v/>
      </c>
      <c r="I711" s="500"/>
      <c r="J711" s="501" t="s">
        <v>353</v>
      </c>
      <c r="K711" s="501" t="s">
        <v>354</v>
      </c>
      <c r="L711" s="501" t="s">
        <v>353</v>
      </c>
      <c r="M711" s="502" t="s">
        <v>354</v>
      </c>
      <c r="N711" s="501" t="s">
        <v>353</v>
      </c>
      <c r="O711" s="501" t="s">
        <v>354</v>
      </c>
      <c r="P711" s="503"/>
      <c r="Q711" s="745"/>
      <c r="R711" s="745"/>
      <c r="S711" s="504"/>
      <c r="T711" s="470" t="str">
        <f t="shared" si="851"/>
        <v/>
      </c>
      <c r="V711" s="547"/>
      <c r="W711" s="471">
        <f t="shared" ref="W711:X711" si="860">W710</f>
        <v>28</v>
      </c>
      <c r="X711" s="471" t="e">
        <f t="shared" si="860"/>
        <v>#REF!</v>
      </c>
      <c r="Y711" s="471" t="e">
        <f t="shared" si="847"/>
        <v>#REF!</v>
      </c>
      <c r="Z711" s="471"/>
      <c r="AA711" s="471"/>
    </row>
    <row r="712" spans="1:40" s="457" customFormat="1" ht="15.75" customHeight="1" x14ac:dyDescent="0.15">
      <c r="A712" s="547"/>
      <c r="B712" s="95"/>
      <c r="C712" s="440" t="s">
        <v>898</v>
      </c>
      <c r="D712" s="95"/>
      <c r="E712" s="141" t="s">
        <v>899</v>
      </c>
      <c r="F712" s="94" t="s">
        <v>771</v>
      </c>
      <c r="G712" s="505">
        <v>2.33</v>
      </c>
      <c r="H712" s="463" t="str">
        <f t="shared" si="850"/>
        <v>메탈 스터드(Metal Stud)65*45*0.8m</v>
      </c>
      <c r="I712" s="451" t="str">
        <f t="shared" ref="I712:I718" si="861">CONCATENATE(C712,E712,F712)</f>
        <v>메탈 스터드(Metal Stud)65*45*0.8m</v>
      </c>
      <c r="J712" s="506">
        <f>IF(OR($F712="인",$F712=""),"",VLOOKUP($H712,단가!$A:$S,19,FALSE))</f>
        <v>2580</v>
      </c>
      <c r="K712" s="507">
        <f t="shared" ref="K712:K719" si="862">IF(J712="","",TRUNC($G712*J712,0))</f>
        <v>6011</v>
      </c>
      <c r="L712" s="506" t="str">
        <f>IF($F712="인",VLOOKUP($C:$C,노임!$C:$G,4,FALSE),"")</f>
        <v/>
      </c>
      <c r="M712" s="507" t="str">
        <f t="shared" ref="M712:M718" si="863">IF(L712="","",TRUNC($G712*L712,0))</f>
        <v/>
      </c>
      <c r="N712" s="507"/>
      <c r="O712" s="507" t="str">
        <f t="shared" ref="O712:O718" si="864">IF(N712="","",TRUNC($G712*N712,0))</f>
        <v/>
      </c>
      <c r="P712" s="508"/>
      <c r="Q712" s="509" t="str">
        <f>IF(F712="인","노임"&amp;VLOOKUP($C:$C,노임!C:G,5,FALSE)&amp;"번","단가"&amp;VLOOKUP($H:$H,단가!$A:$B,2,FALSE)&amp;"번")</f>
        <v>단가23번</v>
      </c>
      <c r="R712" s="510"/>
      <c r="S712" s="131"/>
      <c r="T712" s="470" t="str">
        <f t="shared" si="851"/>
        <v>단가23번</v>
      </c>
      <c r="V712" s="548"/>
      <c r="W712" s="471">
        <f t="shared" ref="W712:X712" si="865">W711</f>
        <v>28</v>
      </c>
      <c r="X712" s="471" t="e">
        <f t="shared" si="865"/>
        <v>#REF!</v>
      </c>
      <c r="Y712" s="471" t="e">
        <f t="shared" si="847"/>
        <v>#REF!</v>
      </c>
      <c r="Z712" s="471"/>
      <c r="AA712" s="471"/>
    </row>
    <row r="713" spans="1:40" s="457" customFormat="1" ht="15.75" customHeight="1" x14ac:dyDescent="0.15">
      <c r="A713" s="470"/>
      <c r="B713" s="95"/>
      <c r="C713" s="140" t="s">
        <v>900</v>
      </c>
      <c r="D713" s="95"/>
      <c r="E713" s="141" t="s">
        <v>901</v>
      </c>
      <c r="F713" s="94" t="s">
        <v>902</v>
      </c>
      <c r="G713" s="505">
        <v>0.68</v>
      </c>
      <c r="H713" s="463" t="str">
        <f t="shared" si="850"/>
        <v>메탈 러너67*40*0.8m</v>
      </c>
      <c r="I713" s="451" t="str">
        <f t="shared" si="861"/>
        <v>메탈 러너67*40*0.8m</v>
      </c>
      <c r="J713" s="506">
        <f>IF(OR($F713="인",$F713=""),"",VLOOKUP($H713,단가!$A:$S,19,FALSE))</f>
        <v>2140</v>
      </c>
      <c r="K713" s="507">
        <f t="shared" si="862"/>
        <v>1455</v>
      </c>
      <c r="L713" s="506" t="str">
        <f>IF($F713="인",VLOOKUP($C:$C,노임!$C:$G,4,FALSE),"")</f>
        <v/>
      </c>
      <c r="M713" s="507" t="str">
        <f t="shared" si="863"/>
        <v/>
      </c>
      <c r="N713" s="507"/>
      <c r="O713" s="507" t="str">
        <f t="shared" si="864"/>
        <v/>
      </c>
      <c r="P713" s="508"/>
      <c r="Q713" s="509" t="str">
        <f>IF(F713="인","노임"&amp;VLOOKUP($C:$C,노임!C:G,5,FALSE)&amp;"번","단가"&amp;VLOOKUP($H:$H,단가!$A:$B,2,FALSE)&amp;"번")</f>
        <v>단가22번</v>
      </c>
      <c r="R713" s="510"/>
      <c r="S713" s="131"/>
      <c r="T713" s="470" t="str">
        <f t="shared" si="851"/>
        <v>단가22번</v>
      </c>
      <c r="V713" s="548"/>
      <c r="W713" s="471">
        <f t="shared" ref="W713:X713" si="866">W712</f>
        <v>28</v>
      </c>
      <c r="X713" s="471" t="e">
        <f t="shared" si="866"/>
        <v>#REF!</v>
      </c>
      <c r="Y713" s="471" t="e">
        <f t="shared" si="847"/>
        <v>#REF!</v>
      </c>
      <c r="Z713" s="471"/>
      <c r="AA713" s="471"/>
    </row>
    <row r="714" spans="1:40" s="457" customFormat="1" ht="15.75" customHeight="1" x14ac:dyDescent="0.15">
      <c r="A714" s="470"/>
      <c r="B714" s="95"/>
      <c r="C714" s="140" t="s">
        <v>1041</v>
      </c>
      <c r="D714" s="95"/>
      <c r="E714" s="141" t="s">
        <v>893</v>
      </c>
      <c r="F714" s="94" t="s">
        <v>892</v>
      </c>
      <c r="G714" s="546">
        <v>15</v>
      </c>
      <c r="H714" s="463" t="str">
        <f t="shared" si="850"/>
        <v>Dry Wall Screw#6 Φ3.5mm, 1"개</v>
      </c>
      <c r="I714" s="451" t="str">
        <f t="shared" si="861"/>
        <v>Dry Wall Screw#6 Φ3.5mm, 1"개</v>
      </c>
      <c r="J714" s="506">
        <f>IF(OR($F714="인",$F714=""),"",VLOOKUP($H714,단가!$A:$S,19,FALSE))</f>
        <v>7</v>
      </c>
      <c r="K714" s="507">
        <f t="shared" si="862"/>
        <v>105</v>
      </c>
      <c r="L714" s="506" t="str">
        <f>IF($F714="인",VLOOKUP($C:$C,노임!$C:$G,4,FALSE),"")</f>
        <v/>
      </c>
      <c r="M714" s="507" t="str">
        <f t="shared" si="863"/>
        <v/>
      </c>
      <c r="N714" s="507"/>
      <c r="O714" s="507" t="str">
        <f t="shared" si="864"/>
        <v/>
      </c>
      <c r="P714" s="508"/>
      <c r="Q714" s="509" t="str">
        <f>IF(F714="인","노임"&amp;VLOOKUP($C:$C,노임!C:G,5,FALSE)&amp;"번","단가"&amp;VLOOKUP($H:$H,단가!$A:$B,2,FALSE)&amp;"번")</f>
        <v>단가4번</v>
      </c>
      <c r="R714" s="510"/>
      <c r="S714" s="131"/>
      <c r="T714" s="470" t="str">
        <f t="shared" si="851"/>
        <v>단가4번</v>
      </c>
      <c r="V714" s="549"/>
      <c r="W714" s="471">
        <f t="shared" ref="W714:X714" si="867">W713</f>
        <v>28</v>
      </c>
      <c r="X714" s="471" t="e">
        <f t="shared" si="867"/>
        <v>#REF!</v>
      </c>
      <c r="Y714" s="471" t="e">
        <f t="shared" si="847"/>
        <v>#REF!</v>
      </c>
      <c r="Z714" s="471"/>
      <c r="AA714" s="471"/>
    </row>
    <row r="715" spans="1:40" s="457" customFormat="1" ht="15.75" customHeight="1" x14ac:dyDescent="0.15">
      <c r="A715" s="470"/>
      <c r="B715" s="95"/>
      <c r="C715" s="210" t="s">
        <v>903</v>
      </c>
      <c r="D715" s="205"/>
      <c r="E715" s="206" t="s">
        <v>1049</v>
      </c>
      <c r="F715" s="211" t="s">
        <v>755</v>
      </c>
      <c r="G715" s="505">
        <v>5</v>
      </c>
      <c r="H715" s="463" t="str">
        <f t="shared" si="850"/>
        <v>Hilti PinX-GNEA</v>
      </c>
      <c r="I715" s="451" t="str">
        <f t="shared" si="861"/>
        <v>Hilti PinX-GNEA</v>
      </c>
      <c r="J715" s="506">
        <f>IF(OR($F715="인",$F715=""),"",VLOOKUP($H715,단가!$A:$S,19,FALSE))</f>
        <v>13</v>
      </c>
      <c r="K715" s="507">
        <f t="shared" si="862"/>
        <v>65</v>
      </c>
      <c r="L715" s="506" t="str">
        <f>IF($F715="인",VLOOKUP($C:$C,노임!$C:$G,4,FALSE),"")</f>
        <v/>
      </c>
      <c r="M715" s="507" t="str">
        <f t="shared" si="863"/>
        <v/>
      </c>
      <c r="N715" s="507"/>
      <c r="O715" s="507" t="str">
        <f t="shared" si="864"/>
        <v/>
      </c>
      <c r="P715" s="508"/>
      <c r="Q715" s="509" t="str">
        <f>IF(F715="인","노임"&amp;VLOOKUP($C:$C,노임!C:G,5,FALSE)&amp;"번","단가"&amp;VLOOKUP($H:$H,단가!$A:$B,2,FALSE)&amp;"번")</f>
        <v>단가56번</v>
      </c>
      <c r="R715" s="510"/>
      <c r="S715" s="131"/>
      <c r="T715" s="470" t="str">
        <f t="shared" si="851"/>
        <v>단가56번</v>
      </c>
      <c r="U715" s="470"/>
      <c r="V715" s="549"/>
      <c r="W715" s="471">
        <f t="shared" ref="W715:X715" si="868">W714</f>
        <v>28</v>
      </c>
      <c r="X715" s="471" t="e">
        <f t="shared" si="868"/>
        <v>#REF!</v>
      </c>
      <c r="Y715" s="471" t="e">
        <f t="shared" si="847"/>
        <v>#REF!</v>
      </c>
      <c r="Z715" s="471"/>
      <c r="AA715" s="471"/>
      <c r="AB715" s="470"/>
      <c r="AF715" s="470"/>
      <c r="AG715" s="470"/>
      <c r="AH715" s="470"/>
      <c r="AI715" s="470"/>
      <c r="AJ715" s="470"/>
      <c r="AK715" s="470"/>
      <c r="AL715" s="470"/>
      <c r="AM715" s="470"/>
      <c r="AN715" s="470"/>
    </row>
    <row r="716" spans="1:40" s="470" customFormat="1" ht="15.75" customHeight="1" x14ac:dyDescent="0.15">
      <c r="B716" s="95"/>
      <c r="C716" s="140" t="s">
        <v>904</v>
      </c>
      <c r="D716" s="95"/>
      <c r="E716" s="206" t="s">
        <v>838</v>
      </c>
      <c r="F716" s="94" t="s">
        <v>800</v>
      </c>
      <c r="G716" s="505">
        <v>0.1</v>
      </c>
      <c r="H716" s="463" t="str">
        <f t="shared" si="850"/>
        <v>용접봉3.2mm, CR-13Kg</v>
      </c>
      <c r="I716" s="451" t="str">
        <f t="shared" si="861"/>
        <v>용접봉3.2mm, CR-13Kg</v>
      </c>
      <c r="J716" s="506">
        <f>IF(OR($F716="인",$F716=""),"",VLOOKUP($H716,단가!$A:$S,19,FALSE))</f>
        <v>2784</v>
      </c>
      <c r="K716" s="507">
        <f t="shared" si="862"/>
        <v>278</v>
      </c>
      <c r="L716" s="506" t="str">
        <f>IF($F716="인",VLOOKUP($C:$C,노임!$C:$G,4,FALSE),"")</f>
        <v/>
      </c>
      <c r="M716" s="507" t="str">
        <f t="shared" si="863"/>
        <v/>
      </c>
      <c r="N716" s="507"/>
      <c r="O716" s="507" t="str">
        <f t="shared" si="864"/>
        <v/>
      </c>
      <c r="P716" s="508"/>
      <c r="Q716" s="509" t="str">
        <f>IF(F716="인","노임"&amp;VLOOKUP($C:$C,노임!C:G,5,FALSE)&amp;"번","단가"&amp;VLOOKUP($H:$H,단가!$A:$B,2,FALSE)&amp;"번")</f>
        <v>단가55번</v>
      </c>
      <c r="R716" s="510"/>
      <c r="S716" s="131"/>
      <c r="T716" s="470" t="str">
        <f t="shared" si="851"/>
        <v>단가55번</v>
      </c>
      <c r="V716" s="549"/>
      <c r="W716" s="471">
        <f t="shared" ref="W716:X716" si="869">W715</f>
        <v>28</v>
      </c>
      <c r="X716" s="471" t="e">
        <f t="shared" si="869"/>
        <v>#REF!</v>
      </c>
      <c r="Y716" s="471" t="e">
        <f t="shared" si="847"/>
        <v>#REF!</v>
      </c>
      <c r="Z716" s="471"/>
      <c r="AA716" s="471"/>
      <c r="AC716" s="457"/>
      <c r="AD716" s="457"/>
      <c r="AE716" s="457"/>
    </row>
    <row r="717" spans="1:40" s="470" customFormat="1" ht="15.75" customHeight="1" x14ac:dyDescent="0.15">
      <c r="B717" s="95"/>
      <c r="C717" s="140" t="s">
        <v>905</v>
      </c>
      <c r="D717" s="95"/>
      <c r="E717" s="141"/>
      <c r="F717" s="94" t="s">
        <v>795</v>
      </c>
      <c r="G717" s="505">
        <v>8.8999999999999996E-2</v>
      </c>
      <c r="H717" s="463" t="str">
        <f t="shared" si="850"/>
        <v>특별인부인</v>
      </c>
      <c r="I717" s="451" t="str">
        <f t="shared" si="861"/>
        <v>특별인부인</v>
      </c>
      <c r="J717" s="506" t="str">
        <f>IF(OR($F717="인",$F717=""),"",VLOOKUP($H717,단가!$A:$S,19,FALSE))</f>
        <v/>
      </c>
      <c r="K717" s="507" t="str">
        <f t="shared" si="862"/>
        <v/>
      </c>
      <c r="L717" s="506">
        <f>IF($F717="인",VLOOKUP($C:$C,노임!$C:$G,4,FALSE),"")</f>
        <v>127391</v>
      </c>
      <c r="M717" s="507">
        <f t="shared" si="863"/>
        <v>11337</v>
      </c>
      <c r="N717" s="507"/>
      <c r="O717" s="507" t="str">
        <f t="shared" si="864"/>
        <v/>
      </c>
      <c r="P717" s="508"/>
      <c r="Q717" s="509" t="str">
        <f>IF(F717="인","노임"&amp;VLOOKUP($C:$C,노임!C:G,5,FALSE)&amp;"번","단가"&amp;VLOOKUP($H:$H,단가!$A:$B,2,FALSE)&amp;"번")</f>
        <v>노임1003번</v>
      </c>
      <c r="R717" s="510"/>
      <c r="S717" s="131"/>
      <c r="T717" s="470" t="str">
        <f t="shared" si="851"/>
        <v>노임1003번</v>
      </c>
      <c r="V717" s="549"/>
      <c r="W717" s="471">
        <f t="shared" ref="W717:X717" si="870">W716</f>
        <v>28</v>
      </c>
      <c r="X717" s="471" t="e">
        <f t="shared" si="870"/>
        <v>#REF!</v>
      </c>
      <c r="Y717" s="471" t="e">
        <f t="shared" si="847"/>
        <v>#REF!</v>
      </c>
      <c r="Z717" s="471"/>
      <c r="AA717" s="471"/>
    </row>
    <row r="718" spans="1:40" s="470" customFormat="1" ht="15.75" customHeight="1" x14ac:dyDescent="0.15">
      <c r="B718" s="95"/>
      <c r="C718" s="140" t="s">
        <v>906</v>
      </c>
      <c r="D718" s="95"/>
      <c r="E718" s="141"/>
      <c r="F718" s="94" t="s">
        <v>795</v>
      </c>
      <c r="G718" s="505">
        <v>0.04</v>
      </c>
      <c r="H718" s="463" t="str">
        <f t="shared" si="850"/>
        <v>보통인부인</v>
      </c>
      <c r="I718" s="451" t="str">
        <f t="shared" si="861"/>
        <v>보통인부인</v>
      </c>
      <c r="J718" s="506" t="str">
        <f>IF(OR($F718="인",$F718=""),"",VLOOKUP($H718,단가!$A:$S,19,FALSE))</f>
        <v/>
      </c>
      <c r="K718" s="507" t="str">
        <f t="shared" si="862"/>
        <v/>
      </c>
      <c r="L718" s="506">
        <f>IF($F718="인",VLOOKUP($C:$C,노임!$C:$G,4,FALSE),"")</f>
        <v>106846</v>
      </c>
      <c r="M718" s="507">
        <f t="shared" si="863"/>
        <v>4273</v>
      </c>
      <c r="N718" s="507"/>
      <c r="O718" s="507" t="str">
        <f t="shared" si="864"/>
        <v/>
      </c>
      <c r="P718" s="508"/>
      <c r="Q718" s="509" t="str">
        <f>IF(F718="인","노임"&amp;VLOOKUP($C:$C,노임!C:G,5,FALSE)&amp;"번","단가"&amp;VLOOKUP($H:$H,단가!$A:$B,2,FALSE)&amp;"번")</f>
        <v>노임1002번</v>
      </c>
      <c r="R718" s="510"/>
      <c r="S718" s="131"/>
      <c r="T718" s="470" t="str">
        <f t="shared" si="851"/>
        <v>노임1002번</v>
      </c>
      <c r="V718" s="549"/>
      <c r="W718" s="471">
        <f t="shared" ref="W718:X718" si="871">W717</f>
        <v>28</v>
      </c>
      <c r="X718" s="471" t="e">
        <f t="shared" si="871"/>
        <v>#REF!</v>
      </c>
      <c r="Y718" s="471" t="e">
        <f t="shared" si="847"/>
        <v>#REF!</v>
      </c>
      <c r="Z718" s="471"/>
      <c r="AA718" s="471"/>
    </row>
    <row r="719" spans="1:40" s="470" customFormat="1" ht="15.75" customHeight="1" x14ac:dyDescent="0.15">
      <c r="B719" s="95"/>
      <c r="C719" s="140" t="s">
        <v>907</v>
      </c>
      <c r="D719" s="95"/>
      <c r="E719" s="141" t="s">
        <v>517</v>
      </c>
      <c r="F719" s="94" t="s">
        <v>796</v>
      </c>
      <c r="G719" s="505">
        <v>1</v>
      </c>
      <c r="H719" s="463" t="str">
        <f t="shared" si="850"/>
        <v>공구손료인력품의 3%식</v>
      </c>
      <c r="I719" s="451"/>
      <c r="J719" s="506">
        <f>TRUNC((M717+M718)*3%,0)</f>
        <v>468</v>
      </c>
      <c r="K719" s="507">
        <f t="shared" si="862"/>
        <v>468</v>
      </c>
      <c r="L719" s="506"/>
      <c r="M719" s="507"/>
      <c r="N719" s="507"/>
      <c r="O719" s="507"/>
      <c r="P719" s="508"/>
      <c r="Q719" s="512"/>
      <c r="R719" s="513"/>
      <c r="S719" s="131"/>
      <c r="T719" s="470" t="str">
        <f t="shared" si="851"/>
        <v/>
      </c>
      <c r="V719" s="549"/>
      <c r="W719" s="471">
        <f t="shared" ref="W719:X719" si="872">W718</f>
        <v>28</v>
      </c>
      <c r="X719" s="471" t="e">
        <f t="shared" si="872"/>
        <v>#REF!</v>
      </c>
      <c r="Y719" s="471" t="e">
        <f t="shared" si="847"/>
        <v>#REF!</v>
      </c>
      <c r="Z719" s="471"/>
      <c r="AA719" s="471"/>
    </row>
    <row r="720" spans="1:40" s="470" customFormat="1" ht="15.75" customHeight="1" x14ac:dyDescent="0.15">
      <c r="B720" s="95"/>
      <c r="C720" s="140"/>
      <c r="D720" s="95"/>
      <c r="E720" s="141"/>
      <c r="F720" s="94"/>
      <c r="G720" s="505"/>
      <c r="H720" s="463" t="str">
        <f t="shared" si="850"/>
        <v/>
      </c>
      <c r="I720" s="451"/>
      <c r="J720" s="506"/>
      <c r="K720" s="507"/>
      <c r="L720" s="506"/>
      <c r="M720" s="507"/>
      <c r="N720" s="507"/>
      <c r="O720" s="507"/>
      <c r="P720" s="508"/>
      <c r="Q720" s="512"/>
      <c r="R720" s="513"/>
      <c r="S720" s="131"/>
      <c r="T720" s="470" t="str">
        <f t="shared" si="851"/>
        <v/>
      </c>
      <c r="V720" s="549"/>
      <c r="W720" s="471">
        <f t="shared" ref="W720:X720" si="873">W719</f>
        <v>28</v>
      </c>
      <c r="X720" s="471" t="e">
        <f t="shared" si="873"/>
        <v>#REF!</v>
      </c>
      <c r="Y720" s="471" t="e">
        <f t="shared" si="847"/>
        <v>#REF!</v>
      </c>
      <c r="Z720" s="471"/>
      <c r="AA720" s="471"/>
    </row>
    <row r="721" spans="1:40" s="470" customFormat="1" ht="15.75" customHeight="1" x14ac:dyDescent="0.15">
      <c r="B721" s="95"/>
      <c r="C721" s="140"/>
      <c r="D721" s="95"/>
      <c r="E721" s="141"/>
      <c r="F721" s="94"/>
      <c r="G721" s="505"/>
      <c r="H721" s="463" t="str">
        <f t="shared" si="850"/>
        <v/>
      </c>
      <c r="I721" s="563" t="s">
        <v>908</v>
      </c>
      <c r="J721" s="506"/>
      <c r="K721" s="507"/>
      <c r="L721" s="506"/>
      <c r="M721" s="507"/>
      <c r="N721" s="507"/>
      <c r="O721" s="507"/>
      <c r="P721" s="508"/>
      <c r="Q721" s="512"/>
      <c r="R721" s="513"/>
      <c r="S721" s="131"/>
      <c r="T721" s="470" t="str">
        <f t="shared" si="851"/>
        <v/>
      </c>
      <c r="V721" s="549"/>
      <c r="W721" s="471">
        <f t="shared" ref="W721:X721" si="874">W720</f>
        <v>28</v>
      </c>
      <c r="X721" s="471" t="e">
        <f t="shared" si="874"/>
        <v>#REF!</v>
      </c>
      <c r="Y721" s="471" t="e">
        <f t="shared" si="847"/>
        <v>#REF!</v>
      </c>
      <c r="Z721" s="471"/>
      <c r="AA721" s="471"/>
      <c r="AC721" s="435"/>
      <c r="AD721" s="435"/>
      <c r="AE721" s="435"/>
    </row>
    <row r="722" spans="1:40" s="470" customFormat="1" ht="15.75" customHeight="1" x14ac:dyDescent="0.15">
      <c r="B722" s="95"/>
      <c r="C722" s="140"/>
      <c r="D722" s="95"/>
      <c r="E722" s="141"/>
      <c r="F722" s="94"/>
      <c r="G722" s="505"/>
      <c r="H722" s="463" t="str">
        <f t="shared" si="850"/>
        <v/>
      </c>
      <c r="I722" s="451"/>
      <c r="J722" s="506"/>
      <c r="K722" s="507"/>
      <c r="L722" s="506"/>
      <c r="M722" s="507"/>
      <c r="N722" s="507"/>
      <c r="O722" s="507"/>
      <c r="P722" s="508"/>
      <c r="Q722" s="512"/>
      <c r="R722" s="513"/>
      <c r="S722" s="131"/>
      <c r="T722" s="470" t="str">
        <f t="shared" si="851"/>
        <v/>
      </c>
      <c r="V722" s="549"/>
      <c r="W722" s="471">
        <f t="shared" ref="W722:X722" si="875">W721</f>
        <v>28</v>
      </c>
      <c r="X722" s="471" t="e">
        <f t="shared" si="875"/>
        <v>#REF!</v>
      </c>
      <c r="Y722" s="471" t="e">
        <f t="shared" si="847"/>
        <v>#REF!</v>
      </c>
      <c r="Z722" s="471"/>
      <c r="AA722" s="471"/>
    </row>
    <row r="723" spans="1:40" s="470" customFormat="1" ht="15.75" customHeight="1" x14ac:dyDescent="0.15">
      <c r="B723" s="95"/>
      <c r="C723" s="140"/>
      <c r="D723" s="95"/>
      <c r="E723" s="141"/>
      <c r="F723" s="94"/>
      <c r="G723" s="505"/>
      <c r="H723" s="463" t="str">
        <f t="shared" si="850"/>
        <v/>
      </c>
      <c r="I723" s="451"/>
      <c r="J723" s="506"/>
      <c r="K723" s="507"/>
      <c r="L723" s="506"/>
      <c r="M723" s="507"/>
      <c r="N723" s="507"/>
      <c r="O723" s="507"/>
      <c r="P723" s="508"/>
      <c r="Q723" s="512"/>
      <c r="R723" s="513"/>
      <c r="S723" s="131"/>
      <c r="T723" s="470" t="str">
        <f t="shared" si="851"/>
        <v/>
      </c>
      <c r="V723" s="549"/>
      <c r="W723" s="471">
        <f t="shared" ref="W723:X723" si="876">W722</f>
        <v>28</v>
      </c>
      <c r="X723" s="471" t="e">
        <f t="shared" si="876"/>
        <v>#REF!</v>
      </c>
      <c r="Y723" s="471" t="e">
        <f t="shared" si="847"/>
        <v>#REF!</v>
      </c>
      <c r="Z723" s="471"/>
      <c r="AA723" s="471"/>
    </row>
    <row r="724" spans="1:40" s="470" customFormat="1" ht="15.75" customHeight="1" x14ac:dyDescent="0.15">
      <c r="B724" s="95"/>
      <c r="C724" s="140"/>
      <c r="D724" s="95"/>
      <c r="E724" s="141"/>
      <c r="F724" s="94"/>
      <c r="G724" s="505"/>
      <c r="H724" s="463" t="str">
        <f t="shared" si="850"/>
        <v/>
      </c>
      <c r="I724" s="451"/>
      <c r="J724" s="506"/>
      <c r="K724" s="507"/>
      <c r="L724" s="506"/>
      <c r="M724" s="507"/>
      <c r="N724" s="507"/>
      <c r="O724" s="507"/>
      <c r="P724" s="508"/>
      <c r="Q724" s="512"/>
      <c r="R724" s="513"/>
      <c r="S724" s="131"/>
      <c r="T724" s="470" t="str">
        <f t="shared" si="851"/>
        <v/>
      </c>
      <c r="V724" s="549"/>
      <c r="W724" s="471">
        <f t="shared" ref="W724:X724" si="877">W723</f>
        <v>28</v>
      </c>
      <c r="X724" s="471" t="e">
        <f t="shared" si="877"/>
        <v>#REF!</v>
      </c>
      <c r="Y724" s="471" t="e">
        <f t="shared" si="847"/>
        <v>#REF!</v>
      </c>
      <c r="Z724" s="471"/>
      <c r="AA724" s="471"/>
    </row>
    <row r="725" spans="1:40" s="470" customFormat="1" ht="15.75" customHeight="1" x14ac:dyDescent="0.15">
      <c r="B725" s="95"/>
      <c r="C725" s="140"/>
      <c r="D725" s="95"/>
      <c r="E725" s="141"/>
      <c r="F725" s="94"/>
      <c r="G725" s="505"/>
      <c r="H725" s="463" t="str">
        <f t="shared" si="850"/>
        <v/>
      </c>
      <c r="I725" s="451"/>
      <c r="J725" s="506"/>
      <c r="K725" s="507"/>
      <c r="L725" s="506"/>
      <c r="M725" s="507"/>
      <c r="N725" s="507"/>
      <c r="O725" s="507"/>
      <c r="P725" s="508"/>
      <c r="Q725" s="512"/>
      <c r="R725" s="513"/>
      <c r="S725" s="131"/>
      <c r="T725" s="470" t="str">
        <f t="shared" si="851"/>
        <v/>
      </c>
      <c r="V725" s="549"/>
      <c r="W725" s="471">
        <f t="shared" ref="W725:X725" si="878">W724</f>
        <v>28</v>
      </c>
      <c r="X725" s="471" t="e">
        <f t="shared" si="878"/>
        <v>#REF!</v>
      </c>
      <c r="Y725" s="471" t="e">
        <f t="shared" si="847"/>
        <v>#REF!</v>
      </c>
      <c r="Z725" s="471"/>
      <c r="AA725" s="471"/>
    </row>
    <row r="726" spans="1:40" s="470" customFormat="1" ht="15.75" customHeight="1" x14ac:dyDescent="0.15">
      <c r="B726" s="514" t="s">
        <v>797</v>
      </c>
      <c r="C726" s="515"/>
      <c r="D726" s="516"/>
      <c r="E726" s="517"/>
      <c r="F726" s="518"/>
      <c r="G726" s="519"/>
      <c r="H726" s="463" t="str">
        <f t="shared" si="850"/>
        <v/>
      </c>
      <c r="I726" s="520">
        <f>목록!$B$34</f>
        <v>28</v>
      </c>
      <c r="J726" s="521"/>
      <c r="K726" s="522">
        <f>SUM(K712:K725)</f>
        <v>8382</v>
      </c>
      <c r="L726" s="521"/>
      <c r="M726" s="522">
        <f>SUM(M712:M725)</f>
        <v>15610</v>
      </c>
      <c r="N726" s="521"/>
      <c r="O726" s="522">
        <f>SUM(O712:O725)</f>
        <v>0</v>
      </c>
      <c r="P726" s="523"/>
      <c r="Q726" s="512"/>
      <c r="R726" s="513"/>
      <c r="S726" s="524"/>
      <c r="T726" s="470" t="str">
        <f t="shared" si="851"/>
        <v/>
      </c>
      <c r="V726" s="549"/>
      <c r="W726" s="471">
        <f t="shared" ref="W726:X726" si="879">W725</f>
        <v>28</v>
      </c>
      <c r="X726" s="471" t="e">
        <f t="shared" si="879"/>
        <v>#REF!</v>
      </c>
      <c r="Y726" s="471" t="e">
        <f t="shared" si="847"/>
        <v>#REF!</v>
      </c>
      <c r="Z726" s="471"/>
      <c r="AA726" s="471"/>
    </row>
    <row r="727" spans="1:40" s="470" customFormat="1" ht="15.75" customHeight="1" x14ac:dyDescent="0.15">
      <c r="A727" s="457"/>
      <c r="B727" s="453"/>
      <c r="C727" s="209" t="s">
        <v>1030</v>
      </c>
      <c r="D727" s="95"/>
      <c r="E727" s="141"/>
      <c r="F727" s="94"/>
      <c r="G727" s="505"/>
      <c r="H727" s="463" t="str">
        <f t="shared" si="850"/>
        <v>※ 실내건축표준품셈 경량-05</v>
      </c>
      <c r="I727" s="451"/>
      <c r="J727" s="506"/>
      <c r="K727" s="507"/>
      <c r="L727" s="506"/>
      <c r="M727" s="507"/>
      <c r="N727" s="507"/>
      <c r="O727" s="507"/>
      <c r="P727" s="508"/>
      <c r="Q727" s="512"/>
      <c r="R727" s="513"/>
      <c r="S727" s="131"/>
      <c r="T727" s="470" t="str">
        <f t="shared" si="851"/>
        <v/>
      </c>
      <c r="V727" s="549"/>
      <c r="W727" s="615">
        <f t="shared" ref="W727:X727" si="880">W726</f>
        <v>28</v>
      </c>
      <c r="X727" s="471" t="e">
        <f t="shared" si="880"/>
        <v>#REF!</v>
      </c>
      <c r="Y727" s="471" t="e">
        <f t="shared" si="847"/>
        <v>#REF!</v>
      </c>
      <c r="Z727" s="471"/>
      <c r="AA727" s="471"/>
    </row>
    <row r="728" spans="1:40" s="470" customFormat="1" ht="15.75" customHeight="1" x14ac:dyDescent="0.15">
      <c r="B728" s="453"/>
      <c r="C728" s="209"/>
      <c r="D728" s="95"/>
      <c r="E728" s="141"/>
      <c r="F728" s="94"/>
      <c r="G728" s="505"/>
      <c r="H728" s="463" t="str">
        <f t="shared" si="850"/>
        <v/>
      </c>
      <c r="I728" s="451"/>
      <c r="J728" s="506"/>
      <c r="K728" s="507"/>
      <c r="L728" s="506"/>
      <c r="M728" s="507"/>
      <c r="N728" s="507"/>
      <c r="O728" s="507"/>
      <c r="P728" s="508"/>
      <c r="Q728" s="512"/>
      <c r="R728" s="513"/>
      <c r="S728" s="131"/>
      <c r="T728" s="470" t="str">
        <f t="shared" si="851"/>
        <v/>
      </c>
      <c r="U728" s="457"/>
      <c r="V728" s="551"/>
      <c r="W728" s="471">
        <f t="shared" ref="W728:X728" si="881">W727</f>
        <v>28</v>
      </c>
      <c r="X728" s="471" t="e">
        <f t="shared" si="881"/>
        <v>#REF!</v>
      </c>
      <c r="Y728" s="471" t="e">
        <f t="shared" si="847"/>
        <v>#REF!</v>
      </c>
      <c r="Z728" s="471"/>
      <c r="AA728" s="471"/>
      <c r="AB728" s="457"/>
      <c r="AF728" s="457"/>
      <c r="AG728" s="457"/>
      <c r="AH728" s="457"/>
      <c r="AI728" s="457"/>
      <c r="AJ728" s="457"/>
      <c r="AK728" s="457"/>
      <c r="AL728" s="457"/>
      <c r="AM728" s="457"/>
      <c r="AN728" s="457"/>
    </row>
    <row r="729" spans="1:40" s="457" customFormat="1" ht="15.75" customHeight="1" x14ac:dyDescent="0.15">
      <c r="A729" s="470"/>
      <c r="B729" s="514"/>
      <c r="C729" s="515"/>
      <c r="D729" s="516"/>
      <c r="E729" s="517"/>
      <c r="F729" s="518"/>
      <c r="G729" s="519"/>
      <c r="H729" s="463" t="str">
        <f t="shared" si="850"/>
        <v/>
      </c>
      <c r="I729" s="520"/>
      <c r="J729" s="521"/>
      <c r="K729" s="522"/>
      <c r="L729" s="521"/>
      <c r="M729" s="522"/>
      <c r="N729" s="521"/>
      <c r="O729" s="522"/>
      <c r="P729" s="523"/>
      <c r="Q729" s="512"/>
      <c r="R729" s="513"/>
      <c r="S729" s="524"/>
      <c r="T729" s="470" t="str">
        <f t="shared" si="851"/>
        <v/>
      </c>
      <c r="U729" s="470"/>
      <c r="V729" s="470"/>
      <c r="W729" s="471">
        <f t="shared" ref="W729:X729" si="882">W728</f>
        <v>28</v>
      </c>
      <c r="X729" s="471" t="e">
        <f t="shared" si="882"/>
        <v>#REF!</v>
      </c>
      <c r="Y729" s="471" t="e">
        <f t="shared" si="847"/>
        <v>#REF!</v>
      </c>
      <c r="Z729" s="471"/>
      <c r="AA729" s="471"/>
      <c r="AB729" s="470"/>
      <c r="AC729" s="470"/>
      <c r="AD729" s="470"/>
      <c r="AE729" s="470"/>
      <c r="AF729" s="470"/>
      <c r="AG729" s="470"/>
      <c r="AH729" s="470"/>
      <c r="AI729" s="470"/>
      <c r="AJ729" s="470"/>
      <c r="AK729" s="470"/>
      <c r="AL729" s="470"/>
      <c r="AM729" s="470"/>
      <c r="AN729" s="470"/>
    </row>
    <row r="730" spans="1:40" s="470" customFormat="1" ht="15.75" customHeight="1" x14ac:dyDescent="0.15">
      <c r="A730" s="457"/>
      <c r="B730" s="457"/>
      <c r="C730" s="458"/>
      <c r="D730" s="459"/>
      <c r="E730" s="460"/>
      <c r="F730" s="461"/>
      <c r="G730" s="462"/>
      <c r="H730" s="463" t="str">
        <f t="shared" ref="H730:H755" si="883">CONCATENATE(C730,E730,F730)</f>
        <v/>
      </c>
      <c r="I730" s="464"/>
      <c r="J730" s="465"/>
      <c r="K730" s="465"/>
      <c r="L730" s="465"/>
      <c r="M730" s="465"/>
      <c r="N730" s="465"/>
      <c r="O730" s="466"/>
      <c r="P730" s="467"/>
      <c r="Q730" s="468"/>
      <c r="R730" s="469"/>
      <c r="S730" s="467"/>
      <c r="T730" s="470" t="str">
        <f t="shared" ref="T730:T779" si="884">CONCATENATE(Q730,R730)</f>
        <v/>
      </c>
      <c r="W730" s="533">
        <f t="shared" ref="W730" si="885">I752</f>
        <v>29</v>
      </c>
      <c r="X730" s="533" t="e">
        <f t="shared" ref="X730" si="886">X729+1</f>
        <v>#REF!</v>
      </c>
      <c r="Y730" s="533" t="e">
        <f t="shared" si="847"/>
        <v>#REF!</v>
      </c>
      <c r="Z730" s="533"/>
      <c r="AA730" s="533"/>
      <c r="AC730" s="457"/>
      <c r="AD730" s="457"/>
      <c r="AE730" s="457"/>
    </row>
    <row r="731" spans="1:40" s="470" customFormat="1" ht="15.75" customHeight="1" x14ac:dyDescent="0.15">
      <c r="A731" s="457"/>
      <c r="B731" s="473"/>
      <c r="C731" s="474" t="str">
        <f>"   항목번호 : "&amp;목록!L$35</f>
        <v xml:space="preserve">   항목번호 : 제29호표</v>
      </c>
      <c r="D731" s="475">
        <f>목록!B$35</f>
        <v>29</v>
      </c>
      <c r="E731" s="476"/>
      <c r="F731" s="477"/>
      <c r="G731" s="478"/>
      <c r="H731" s="463" t="str">
        <f t="shared" si="883"/>
        <v xml:space="preserve">   항목번호 : 제29호표</v>
      </c>
      <c r="I731" s="479"/>
      <c r="J731" s="480"/>
      <c r="K731" s="481"/>
      <c r="L731" s="482"/>
      <c r="M731" s="482"/>
      <c r="N731" s="482"/>
      <c r="O731" s="466"/>
      <c r="P731" s="483"/>
      <c r="Q731" s="484"/>
      <c r="R731" s="485"/>
      <c r="S731" s="483"/>
      <c r="T731" s="470" t="str">
        <f t="shared" si="884"/>
        <v/>
      </c>
      <c r="U731" s="457"/>
      <c r="V731" s="551"/>
      <c r="W731" s="471">
        <f t="shared" ref="W731:X731" si="887">W730</f>
        <v>29</v>
      </c>
      <c r="X731" s="471" t="e">
        <f t="shared" si="887"/>
        <v>#REF!</v>
      </c>
      <c r="Y731" s="471" t="e">
        <f t="shared" si="847"/>
        <v>#REF!</v>
      </c>
      <c r="Z731" s="471"/>
      <c r="AA731" s="471"/>
      <c r="AB731" s="457"/>
      <c r="AF731" s="457"/>
      <c r="AG731" s="457"/>
      <c r="AH731" s="457"/>
      <c r="AI731" s="457"/>
      <c r="AJ731" s="457"/>
      <c r="AK731" s="457"/>
      <c r="AL731" s="457"/>
      <c r="AM731" s="457"/>
      <c r="AN731" s="457"/>
    </row>
    <row r="732" spans="1:40" s="457" customFormat="1" ht="15.75" customHeight="1" x14ac:dyDescent="0.15">
      <c r="B732" s="473"/>
      <c r="C732" s="474" t="str">
        <f>"   공      종 : "&amp;목록!D$35</f>
        <v xml:space="preserve">   공      종 : 석고보드취부(벽)</v>
      </c>
      <c r="D732" s="484"/>
      <c r="E732" s="476"/>
      <c r="F732" s="473"/>
      <c r="G732" s="478"/>
      <c r="H732" s="463" t="str">
        <f t="shared" si="883"/>
        <v xml:space="preserve">   공      종 : 석고보드취부(벽)</v>
      </c>
      <c r="I732" s="479"/>
      <c r="J732" s="480"/>
      <c r="K732" s="481"/>
      <c r="L732" s="482"/>
      <c r="M732" s="482"/>
      <c r="N732" s="482"/>
      <c r="O732" s="466"/>
      <c r="P732" s="483"/>
      <c r="Q732" s="484"/>
      <c r="R732" s="485"/>
      <c r="S732" s="483"/>
      <c r="T732" s="470" t="str">
        <f t="shared" si="884"/>
        <v/>
      </c>
      <c r="V732" s="470"/>
      <c r="W732" s="471">
        <f t="shared" ref="W732:X732" si="888">W731</f>
        <v>29</v>
      </c>
      <c r="X732" s="471" t="e">
        <f t="shared" si="888"/>
        <v>#REF!</v>
      </c>
      <c r="Y732" s="471" t="e">
        <f t="shared" si="847"/>
        <v>#REF!</v>
      </c>
      <c r="Z732" s="471"/>
      <c r="AA732" s="471"/>
      <c r="AC732" s="470"/>
      <c r="AD732" s="470"/>
      <c r="AE732" s="470"/>
    </row>
    <row r="733" spans="1:40" s="457" customFormat="1" ht="15.75" customHeight="1" x14ac:dyDescent="0.15">
      <c r="B733" s="473"/>
      <c r="C733" s="474" t="str">
        <f xml:space="preserve"> "   규      격 : "&amp;목록!F$35</f>
        <v xml:space="preserve">   규      격 : THK=9.5mm * 1PLY</v>
      </c>
      <c r="D733" s="484"/>
      <c r="E733" s="476"/>
      <c r="F733" s="473"/>
      <c r="G733" s="478"/>
      <c r="H733" s="463" t="str">
        <f t="shared" si="883"/>
        <v xml:space="preserve">   규      격 : THK=9.5mm * 1PLY</v>
      </c>
      <c r="I733" s="479"/>
      <c r="J733" s="480" t="s">
        <v>348</v>
      </c>
      <c r="K733" s="481"/>
      <c r="L733" s="482" t="s">
        <v>349</v>
      </c>
      <c r="M733" s="482"/>
      <c r="N733" s="482" t="s">
        <v>240</v>
      </c>
      <c r="O733" s="466"/>
      <c r="P733" s="483"/>
      <c r="Q733" s="484" t="s">
        <v>798</v>
      </c>
      <c r="R733" s="484"/>
      <c r="S733" s="483"/>
      <c r="T733" s="470" t="str">
        <f t="shared" si="884"/>
        <v>합계</v>
      </c>
      <c r="V733" s="547"/>
      <c r="W733" s="471">
        <f t="shared" ref="W733:X733" si="889">W732</f>
        <v>29</v>
      </c>
      <c r="X733" s="471" t="e">
        <f t="shared" si="889"/>
        <v>#REF!</v>
      </c>
      <c r="Y733" s="471" t="e">
        <f t="shared" si="847"/>
        <v>#REF!</v>
      </c>
      <c r="Z733" s="471"/>
      <c r="AA733" s="471"/>
      <c r="AC733" s="470"/>
      <c r="AD733" s="470"/>
      <c r="AE733" s="470"/>
    </row>
    <row r="734" spans="1:40" s="457" customFormat="1" ht="15.75" customHeight="1" x14ac:dyDescent="0.15">
      <c r="B734" s="473"/>
      <c r="C734" s="474" t="str">
        <f>"   단      위 : "&amp;목록!G$35</f>
        <v xml:space="preserve">   단      위 : ㎡</v>
      </c>
      <c r="D734" s="484"/>
      <c r="E734" s="476"/>
      <c r="F734" s="473"/>
      <c r="G734" s="478"/>
      <c r="H734" s="463" t="str">
        <f t="shared" si="883"/>
        <v xml:space="preserve">   단      위 : ㎡</v>
      </c>
      <c r="I734" s="479"/>
      <c r="J734" s="486">
        <f>K752</f>
        <v>2671</v>
      </c>
      <c r="K734" s="481"/>
      <c r="L734" s="487">
        <f>M752</f>
        <v>6995</v>
      </c>
      <c r="M734" s="482"/>
      <c r="N734" s="482">
        <f>O752</f>
        <v>0</v>
      </c>
      <c r="O734" s="466"/>
      <c r="P734" s="483"/>
      <c r="Q734" s="488">
        <f>J734+L734+N734</f>
        <v>9666</v>
      </c>
      <c r="R734" s="489"/>
      <c r="S734" s="483"/>
      <c r="T734" s="470" t="str">
        <f t="shared" si="884"/>
        <v>9666</v>
      </c>
      <c r="V734" s="547"/>
      <c r="W734" s="471">
        <f t="shared" ref="W734:X734" si="890">W733</f>
        <v>29</v>
      </c>
      <c r="X734" s="471" t="e">
        <f t="shared" si="890"/>
        <v>#REF!</v>
      </c>
      <c r="Y734" s="471" t="e">
        <f t="shared" si="847"/>
        <v>#REF!</v>
      </c>
      <c r="Z734" s="471"/>
      <c r="AA734" s="471"/>
    </row>
    <row r="735" spans="1:40" s="457" customFormat="1" ht="15.75" customHeight="1" x14ac:dyDescent="0.15">
      <c r="B735" s="473"/>
      <c r="C735" s="474"/>
      <c r="D735" s="484"/>
      <c r="E735" s="476"/>
      <c r="F735" s="473"/>
      <c r="G735" s="490"/>
      <c r="H735" s="463" t="str">
        <f t="shared" si="883"/>
        <v/>
      </c>
      <c r="I735" s="491"/>
      <c r="J735" s="482"/>
      <c r="K735" s="465"/>
      <c r="L735" s="482"/>
      <c r="M735" s="482"/>
      <c r="N735" s="482"/>
      <c r="O735" s="466"/>
      <c r="P735" s="492"/>
      <c r="Q735" s="493"/>
      <c r="R735" s="485"/>
      <c r="S735" s="492"/>
      <c r="T735" s="470" t="str">
        <f t="shared" si="884"/>
        <v/>
      </c>
      <c r="V735" s="547"/>
      <c r="W735" s="471">
        <f t="shared" ref="W735:X735" si="891">W734</f>
        <v>29</v>
      </c>
      <c r="X735" s="471" t="e">
        <f t="shared" si="891"/>
        <v>#REF!</v>
      </c>
      <c r="Y735" s="471" t="e">
        <f t="shared" si="847"/>
        <v>#REF!</v>
      </c>
      <c r="Z735" s="471"/>
      <c r="AA735" s="471"/>
    </row>
    <row r="736" spans="1:40" s="457" customFormat="1" ht="15.75" customHeight="1" x14ac:dyDescent="0.15">
      <c r="B736" s="899" t="s">
        <v>375</v>
      </c>
      <c r="C736" s="900"/>
      <c r="D736" s="907" t="s">
        <v>356</v>
      </c>
      <c r="E736" s="908"/>
      <c r="F736" s="903" t="s">
        <v>809</v>
      </c>
      <c r="G736" s="913" t="s">
        <v>810</v>
      </c>
      <c r="H736" s="463" t="str">
        <f t="shared" si="883"/>
        <v>단위</v>
      </c>
      <c r="I736" s="494"/>
      <c r="J736" s="495" t="s">
        <v>348</v>
      </c>
      <c r="K736" s="496"/>
      <c r="L736" s="495" t="s">
        <v>349</v>
      </c>
      <c r="M736" s="496"/>
      <c r="N736" s="497" t="s">
        <v>240</v>
      </c>
      <c r="O736" s="497"/>
      <c r="P736" s="498"/>
      <c r="Q736" s="744" t="s">
        <v>355</v>
      </c>
      <c r="R736" s="744"/>
      <c r="S736" s="499"/>
      <c r="T736" s="470" t="str">
        <f t="shared" si="884"/>
        <v>비  고</v>
      </c>
      <c r="V736" s="547"/>
      <c r="W736" s="471">
        <f t="shared" ref="W736:X736" si="892">W735</f>
        <v>29</v>
      </c>
      <c r="X736" s="471" t="e">
        <f t="shared" si="892"/>
        <v>#REF!</v>
      </c>
      <c r="Y736" s="471" t="e">
        <f t="shared" si="847"/>
        <v>#REF!</v>
      </c>
      <c r="Z736" s="471"/>
      <c r="AA736" s="471"/>
    </row>
    <row r="737" spans="1:40" s="457" customFormat="1" ht="15.75" customHeight="1" x14ac:dyDescent="0.15">
      <c r="A737" s="547"/>
      <c r="B737" s="901"/>
      <c r="C737" s="902"/>
      <c r="D737" s="909"/>
      <c r="E737" s="910"/>
      <c r="F737" s="904"/>
      <c r="G737" s="914"/>
      <c r="H737" s="463" t="str">
        <f t="shared" si="883"/>
        <v/>
      </c>
      <c r="I737" s="500"/>
      <c r="J737" s="501" t="s">
        <v>353</v>
      </c>
      <c r="K737" s="501" t="s">
        <v>354</v>
      </c>
      <c r="L737" s="501" t="s">
        <v>353</v>
      </c>
      <c r="M737" s="502" t="s">
        <v>354</v>
      </c>
      <c r="N737" s="501" t="s">
        <v>353</v>
      </c>
      <c r="O737" s="501" t="s">
        <v>354</v>
      </c>
      <c r="P737" s="503"/>
      <c r="Q737" s="745"/>
      <c r="R737" s="745"/>
      <c r="S737" s="504"/>
      <c r="T737" s="470" t="str">
        <f t="shared" si="884"/>
        <v/>
      </c>
      <c r="V737" s="547"/>
      <c r="W737" s="471">
        <f t="shared" ref="W737:X737" si="893">W736</f>
        <v>29</v>
      </c>
      <c r="X737" s="471" t="e">
        <f t="shared" si="893"/>
        <v>#REF!</v>
      </c>
      <c r="Y737" s="471" t="e">
        <f t="shared" si="847"/>
        <v>#REF!</v>
      </c>
      <c r="Z737" s="471"/>
      <c r="AA737" s="471"/>
    </row>
    <row r="738" spans="1:40" s="457" customFormat="1" ht="15.75" customHeight="1" x14ac:dyDescent="0.15">
      <c r="A738" s="547"/>
      <c r="B738" s="95"/>
      <c r="C738" s="140" t="s">
        <v>909</v>
      </c>
      <c r="D738" s="95"/>
      <c r="E738" s="141" t="s">
        <v>910</v>
      </c>
      <c r="F738" s="94" t="s">
        <v>768</v>
      </c>
      <c r="G738" s="505">
        <f>TRUNC(1.05,4)</f>
        <v>1.05</v>
      </c>
      <c r="H738" s="463" t="str">
        <f t="shared" si="883"/>
        <v>석고보드THK=9.5*3'*6'㎡</v>
      </c>
      <c r="I738" s="451" t="str">
        <f>CONCATENATE(C738,E738,F738)</f>
        <v>석고보드THK=9.5*3'*6'㎡</v>
      </c>
      <c r="J738" s="506">
        <f>IF(OR($F738="인",$F738=""),"",VLOOKUP($H738,단가!$A:$S,19,FALSE))</f>
        <v>2407</v>
      </c>
      <c r="K738" s="507">
        <f>IF(J738="","",TRUNC($G738*J738,0))</f>
        <v>2527</v>
      </c>
      <c r="L738" s="506" t="str">
        <f>IF($F738="인",VLOOKUP($C:$C,노임!$C:$G,4,FALSE),"")</f>
        <v/>
      </c>
      <c r="M738" s="507" t="str">
        <f>IF(L738="","",TRUNC($G738*L738,0))</f>
        <v/>
      </c>
      <c r="N738" s="507"/>
      <c r="O738" s="507" t="str">
        <f>IF(N738="","",TRUNC($G738*N738,0))</f>
        <v/>
      </c>
      <c r="P738" s="508"/>
      <c r="Q738" s="509" t="str">
        <f>IF(F738="인","노임"&amp;VLOOKUP($C:$C,노임!C:G,5,FALSE)&amp;"번","단가"&amp;VLOOKUP($H:$H,단가!$A:$B,2,FALSE)&amp;"번")</f>
        <v>단가54번</v>
      </c>
      <c r="R738" s="510"/>
      <c r="S738" s="131"/>
      <c r="T738" s="470" t="str">
        <f t="shared" si="884"/>
        <v>단가54번</v>
      </c>
      <c r="V738" s="548"/>
      <c r="W738" s="471">
        <f t="shared" ref="W738:X738" si="894">W737</f>
        <v>29</v>
      </c>
      <c r="X738" s="471" t="e">
        <f t="shared" si="894"/>
        <v>#REF!</v>
      </c>
      <c r="Y738" s="471" t="e">
        <f t="shared" si="847"/>
        <v>#REF!</v>
      </c>
      <c r="Z738" s="471"/>
      <c r="AA738" s="471"/>
    </row>
    <row r="739" spans="1:40" s="457" customFormat="1" ht="15.75" customHeight="1" x14ac:dyDescent="0.15">
      <c r="A739" s="470"/>
      <c r="B739" s="95"/>
      <c r="C739" s="140" t="s">
        <v>572</v>
      </c>
      <c r="D739" s="95"/>
      <c r="E739" s="206" t="s">
        <v>836</v>
      </c>
      <c r="F739" s="94" t="s">
        <v>1017</v>
      </c>
      <c r="G739" s="505">
        <v>1</v>
      </c>
      <c r="H739" s="463" t="str">
        <f>CONCATENATE(C739,E739,F739)</f>
        <v>잡재료 및 소모재료주재료비의 3%식</v>
      </c>
      <c r="I739" s="451" t="str">
        <f>CONCATENATE(C739,E739,F739)</f>
        <v>잡재료 및 소모재료주재료비의 3%식</v>
      </c>
      <c r="J739" s="506">
        <f>TRUNC((K738)*3%,0)</f>
        <v>75</v>
      </c>
      <c r="K739" s="507">
        <f>IF(J739="","",TRUNC($G739*J739,0))</f>
        <v>75</v>
      </c>
      <c r="L739" s="506" t="str">
        <f>IF($F739="인",VLOOKUP($C:$C,노임!$C:$G,4,FALSE),"")</f>
        <v/>
      </c>
      <c r="M739" s="507" t="str">
        <f>IF(L739="","",TRUNC($G739*L739,0))</f>
        <v/>
      </c>
      <c r="N739" s="507"/>
      <c r="O739" s="507" t="str">
        <f>IF(N739="","",TRUNC($G739*N739,0))</f>
        <v/>
      </c>
      <c r="P739" s="508"/>
      <c r="Q739" s="509"/>
      <c r="R739" s="510"/>
      <c r="S739" s="131"/>
      <c r="T739" s="470" t="str">
        <f t="shared" si="884"/>
        <v/>
      </c>
      <c r="V739" s="548"/>
      <c r="W739" s="471">
        <f t="shared" ref="W739:X739" si="895">W738</f>
        <v>29</v>
      </c>
      <c r="X739" s="471" t="e">
        <f t="shared" si="895"/>
        <v>#REF!</v>
      </c>
      <c r="Y739" s="471" t="e">
        <f t="shared" si="847"/>
        <v>#REF!</v>
      </c>
      <c r="Z739" s="471"/>
      <c r="AA739" s="471"/>
    </row>
    <row r="740" spans="1:40" s="457" customFormat="1" ht="15.75" customHeight="1" x14ac:dyDescent="0.15">
      <c r="A740" s="470"/>
      <c r="B740" s="95"/>
      <c r="C740" s="140" t="s">
        <v>911</v>
      </c>
      <c r="D740" s="95"/>
      <c r="E740" s="141"/>
      <c r="F740" s="94" t="s">
        <v>756</v>
      </c>
      <c r="G740" s="505">
        <v>3.3000000000000002E-2</v>
      </c>
      <c r="H740" s="463" t="str">
        <f>CONCATENATE(C740,E740,F740)</f>
        <v>내장공인</v>
      </c>
      <c r="I740" s="451" t="str">
        <f>CONCATENATE(C740,E740,F740)</f>
        <v>내장공인</v>
      </c>
      <c r="J740" s="506" t="str">
        <f>IF(OR($F740="인",$F740=""),"",VLOOKUP($H740,단가!$A:$S,19,FALSE))</f>
        <v/>
      </c>
      <c r="K740" s="507" t="str">
        <f>IF(J740="","",TRUNC($G740*J740,0))</f>
        <v/>
      </c>
      <c r="L740" s="506">
        <f>IF($F740="인",VLOOKUP($C:$C,노임!$C:$G,4,FALSE),"")</f>
        <v>160195</v>
      </c>
      <c r="M740" s="507">
        <f>IF(L740="","",TRUNC($G740*L740,0))</f>
        <v>5286</v>
      </c>
      <c r="N740" s="507"/>
      <c r="O740" s="507" t="str">
        <f>IF(N740="","",TRUNC($G740*N740,0))</f>
        <v/>
      </c>
      <c r="P740" s="508"/>
      <c r="Q740" s="509" t="str">
        <f>IF(F740="인","노임"&amp;VLOOKUP($C:$C,노임!C:G,5,FALSE)&amp;"번","단가"&amp;VLOOKUP($H:$H,단가!$A:$B,2,FALSE)&amp;"번")</f>
        <v>노임1030번</v>
      </c>
      <c r="R740" s="510"/>
      <c r="S740" s="131"/>
      <c r="T740" s="470" t="str">
        <f t="shared" si="884"/>
        <v>노임1030번</v>
      </c>
      <c r="U740" s="470"/>
      <c r="V740" s="549"/>
      <c r="W740" s="471">
        <f t="shared" ref="W740:X740" si="896">W739</f>
        <v>29</v>
      </c>
      <c r="X740" s="471" t="e">
        <f t="shared" si="896"/>
        <v>#REF!</v>
      </c>
      <c r="Y740" s="471" t="e">
        <f t="shared" si="847"/>
        <v>#REF!</v>
      </c>
      <c r="Z740" s="471"/>
      <c r="AA740" s="471"/>
      <c r="AF740" s="470"/>
      <c r="AG740" s="470"/>
      <c r="AH740" s="470"/>
      <c r="AI740" s="470"/>
      <c r="AJ740" s="470"/>
      <c r="AK740" s="470"/>
      <c r="AL740" s="470"/>
      <c r="AM740" s="470"/>
      <c r="AN740" s="470"/>
    </row>
    <row r="741" spans="1:40" s="470" customFormat="1" ht="15.75" customHeight="1" x14ac:dyDescent="0.15">
      <c r="B741" s="95"/>
      <c r="C741" s="140" t="s">
        <v>772</v>
      </c>
      <c r="D741" s="95"/>
      <c r="E741" s="141"/>
      <c r="F741" s="94" t="s">
        <v>756</v>
      </c>
      <c r="G741" s="505">
        <v>1.6E-2</v>
      </c>
      <c r="H741" s="463" t="str">
        <f>CONCATENATE(C741,E741,F741)</f>
        <v>보통인부인</v>
      </c>
      <c r="I741" s="451" t="str">
        <f>CONCATENATE(C741,E741,F741)</f>
        <v>보통인부인</v>
      </c>
      <c r="J741" s="506" t="str">
        <f>IF(OR($F741="인",$F741=""),"",VLOOKUP($H741,단가!$A:$S,19,FALSE))</f>
        <v/>
      </c>
      <c r="K741" s="507" t="str">
        <f>IF(J741="","",TRUNC($G741*J741,0))</f>
        <v/>
      </c>
      <c r="L741" s="506">
        <f>IF($F741="인",VLOOKUP($C:$C,노임!$C:$G,4,FALSE),"")</f>
        <v>106846</v>
      </c>
      <c r="M741" s="507">
        <f>IF(L741="","",TRUNC($G741*L741,0))</f>
        <v>1709</v>
      </c>
      <c r="N741" s="507"/>
      <c r="O741" s="507" t="str">
        <f>IF(N741="","",TRUNC($G741*N741,0))</f>
        <v/>
      </c>
      <c r="P741" s="508"/>
      <c r="Q741" s="509" t="str">
        <f>IF(F741="인","노임"&amp;VLOOKUP($C:$C,노임!C:G,5,FALSE)&amp;"번","단가"&amp;VLOOKUP($H:$H,단가!$A:$B,2,FALSE)&amp;"번")</f>
        <v>노임1002번</v>
      </c>
      <c r="R741" s="510"/>
      <c r="S741" s="131"/>
      <c r="T741" s="470" t="str">
        <f t="shared" si="884"/>
        <v>노임1002번</v>
      </c>
      <c r="V741" s="549"/>
      <c r="W741" s="471">
        <f t="shared" ref="W741:X741" si="897">W740</f>
        <v>29</v>
      </c>
      <c r="X741" s="471" t="e">
        <f t="shared" si="897"/>
        <v>#REF!</v>
      </c>
      <c r="Y741" s="471" t="e">
        <f t="shared" si="847"/>
        <v>#REF!</v>
      </c>
      <c r="Z741" s="471"/>
      <c r="AA741" s="471"/>
      <c r="AC741" s="457"/>
      <c r="AD741" s="457"/>
      <c r="AE741" s="457"/>
    </row>
    <row r="742" spans="1:40" s="470" customFormat="1" ht="15.75" customHeight="1" x14ac:dyDescent="0.15">
      <c r="B742" s="95"/>
      <c r="C742" s="140" t="s">
        <v>815</v>
      </c>
      <c r="D742" s="95"/>
      <c r="E742" s="141" t="s">
        <v>950</v>
      </c>
      <c r="F742" s="94" t="s">
        <v>777</v>
      </c>
      <c r="G742" s="505">
        <v>1</v>
      </c>
      <c r="H742" s="463" t="str">
        <f>CONCATENATE(C742,E742,F742)</f>
        <v>공구손료인력품의 1%식</v>
      </c>
      <c r="I742" s="451"/>
      <c r="J742" s="506">
        <f>TRUNC((M740+M741)*1%,0)</f>
        <v>69</v>
      </c>
      <c r="K742" s="507">
        <f>IF(J742="","",TRUNC($G742*J742,0))</f>
        <v>69</v>
      </c>
      <c r="L742" s="506"/>
      <c r="M742" s="507"/>
      <c r="N742" s="507"/>
      <c r="O742" s="507"/>
      <c r="P742" s="508"/>
      <c r="Q742" s="512"/>
      <c r="R742" s="534"/>
      <c r="S742" s="131"/>
      <c r="T742" s="470" t="str">
        <f t="shared" si="884"/>
        <v/>
      </c>
      <c r="V742" s="549"/>
      <c r="W742" s="471">
        <f t="shared" ref="W742:X742" si="898">W741</f>
        <v>29</v>
      </c>
      <c r="X742" s="471" t="e">
        <f t="shared" si="898"/>
        <v>#REF!</v>
      </c>
      <c r="Y742" s="471" t="e">
        <f t="shared" si="847"/>
        <v>#REF!</v>
      </c>
      <c r="Z742" s="471"/>
      <c r="AA742" s="471"/>
      <c r="AC742" s="457"/>
      <c r="AD742" s="457"/>
      <c r="AE742" s="457"/>
    </row>
    <row r="743" spans="1:40" s="470" customFormat="1" ht="15.75" customHeight="1" x14ac:dyDescent="0.15">
      <c r="B743" s="95"/>
      <c r="C743" s="140"/>
      <c r="D743" s="95"/>
      <c r="E743" s="141"/>
      <c r="F743" s="94"/>
      <c r="G743" s="505"/>
      <c r="H743" s="463"/>
      <c r="I743" s="451"/>
      <c r="J743" s="506"/>
      <c r="K743" s="507"/>
      <c r="L743" s="506"/>
      <c r="M743" s="507"/>
      <c r="N743" s="507"/>
      <c r="O743" s="507"/>
      <c r="P743" s="508"/>
      <c r="Q743" s="509"/>
      <c r="R743" s="510"/>
      <c r="S743" s="131"/>
      <c r="T743" s="470" t="str">
        <f t="shared" si="884"/>
        <v/>
      </c>
      <c r="V743" s="549"/>
      <c r="W743" s="471">
        <f t="shared" ref="W743:X743" si="899">W742</f>
        <v>29</v>
      </c>
      <c r="X743" s="471" t="e">
        <f t="shared" si="899"/>
        <v>#REF!</v>
      </c>
      <c r="Y743" s="471" t="e">
        <f t="shared" si="847"/>
        <v>#REF!</v>
      </c>
      <c r="Z743" s="471"/>
      <c r="AA743" s="471"/>
      <c r="AC743" s="457"/>
      <c r="AD743" s="457"/>
      <c r="AE743" s="457"/>
    </row>
    <row r="744" spans="1:40" s="470" customFormat="1" ht="15.75" customHeight="1" x14ac:dyDescent="0.15">
      <c r="B744" s="95"/>
      <c r="C744" s="140"/>
      <c r="D744" s="95"/>
      <c r="E744" s="141"/>
      <c r="F744" s="94"/>
      <c r="G744" s="505"/>
      <c r="H744" s="463"/>
      <c r="I744" s="451"/>
      <c r="J744" s="506"/>
      <c r="K744" s="507"/>
      <c r="L744" s="506"/>
      <c r="M744" s="507"/>
      <c r="N744" s="507"/>
      <c r="O744" s="507"/>
      <c r="P744" s="508"/>
      <c r="Q744" s="509"/>
      <c r="R744" s="510"/>
      <c r="S744" s="131"/>
      <c r="T744" s="470" t="str">
        <f t="shared" si="884"/>
        <v/>
      </c>
      <c r="V744" s="549"/>
      <c r="W744" s="471">
        <f t="shared" ref="W744:X744" si="900">W743</f>
        <v>29</v>
      </c>
      <c r="X744" s="471" t="e">
        <f t="shared" si="900"/>
        <v>#REF!</v>
      </c>
      <c r="Y744" s="471" t="e">
        <f t="shared" si="847"/>
        <v>#REF!</v>
      </c>
      <c r="Z744" s="471"/>
      <c r="AA744" s="471"/>
    </row>
    <row r="745" spans="1:40" s="470" customFormat="1" ht="15.75" customHeight="1" x14ac:dyDescent="0.15">
      <c r="B745" s="95"/>
      <c r="C745" s="140"/>
      <c r="D745" s="95"/>
      <c r="E745" s="141"/>
      <c r="F745" s="94"/>
      <c r="G745" s="505"/>
      <c r="H745" s="463"/>
      <c r="I745" s="451"/>
      <c r="J745" s="506"/>
      <c r="K745" s="507"/>
      <c r="L745" s="506"/>
      <c r="M745" s="507"/>
      <c r="N745" s="507"/>
      <c r="O745" s="507"/>
      <c r="P745" s="508"/>
      <c r="Q745" s="512"/>
      <c r="R745" s="513"/>
      <c r="S745" s="131"/>
      <c r="T745" s="470" t="str">
        <f t="shared" si="884"/>
        <v/>
      </c>
      <c r="V745" s="549"/>
      <c r="W745" s="471">
        <f t="shared" ref="W745:X745" si="901">W744</f>
        <v>29</v>
      </c>
      <c r="X745" s="471" t="e">
        <f t="shared" si="901"/>
        <v>#REF!</v>
      </c>
      <c r="Y745" s="471" t="e">
        <f t="shared" si="847"/>
        <v>#REF!</v>
      </c>
      <c r="Z745" s="471"/>
      <c r="AA745" s="471"/>
    </row>
    <row r="746" spans="1:40" s="470" customFormat="1" ht="15.75" customHeight="1" x14ac:dyDescent="0.15">
      <c r="B746" s="95"/>
      <c r="C746" s="140"/>
      <c r="D746" s="95"/>
      <c r="E746" s="141"/>
      <c r="F746" s="94"/>
      <c r="G746" s="505"/>
      <c r="H746" s="463"/>
      <c r="I746" s="451"/>
      <c r="J746" s="506"/>
      <c r="K746" s="507"/>
      <c r="L746" s="506"/>
      <c r="M746" s="507"/>
      <c r="N746" s="507"/>
      <c r="O746" s="507"/>
      <c r="P746" s="508"/>
      <c r="Q746" s="512"/>
      <c r="R746" s="513"/>
      <c r="S746" s="131"/>
      <c r="T746" s="470" t="str">
        <f t="shared" si="884"/>
        <v/>
      </c>
      <c r="V746" s="549"/>
      <c r="W746" s="471">
        <f t="shared" ref="W746:X746" si="902">W745</f>
        <v>29</v>
      </c>
      <c r="X746" s="471" t="e">
        <f t="shared" si="902"/>
        <v>#REF!</v>
      </c>
      <c r="Y746" s="471" t="e">
        <f t="shared" si="847"/>
        <v>#REF!</v>
      </c>
      <c r="Z746" s="471"/>
      <c r="AA746" s="471"/>
    </row>
    <row r="747" spans="1:40" s="470" customFormat="1" ht="15.75" customHeight="1" x14ac:dyDescent="0.15">
      <c r="B747" s="95"/>
      <c r="C747" s="140"/>
      <c r="D747" s="95"/>
      <c r="E747" s="141"/>
      <c r="F747" s="94"/>
      <c r="G747" s="505"/>
      <c r="H747" s="463" t="str">
        <f t="shared" si="883"/>
        <v/>
      </c>
      <c r="I747" s="563" t="s">
        <v>912</v>
      </c>
      <c r="J747" s="506"/>
      <c r="K747" s="507"/>
      <c r="L747" s="506"/>
      <c r="M747" s="507"/>
      <c r="N747" s="507"/>
      <c r="O747" s="507"/>
      <c r="P747" s="508"/>
      <c r="Q747" s="512"/>
      <c r="R747" s="513"/>
      <c r="S747" s="131"/>
      <c r="T747" s="470" t="str">
        <f t="shared" si="884"/>
        <v/>
      </c>
      <c r="V747" s="549"/>
      <c r="W747" s="471">
        <f t="shared" ref="W747:X747" si="903">W746</f>
        <v>29</v>
      </c>
      <c r="X747" s="471" t="e">
        <f t="shared" si="903"/>
        <v>#REF!</v>
      </c>
      <c r="Y747" s="471" t="e">
        <f t="shared" si="847"/>
        <v>#REF!</v>
      </c>
      <c r="Z747" s="471"/>
      <c r="AA747" s="471"/>
    </row>
    <row r="748" spans="1:40" s="470" customFormat="1" ht="15.75" customHeight="1" x14ac:dyDescent="0.15">
      <c r="B748" s="95"/>
      <c r="C748" s="140"/>
      <c r="D748" s="95"/>
      <c r="E748" s="141"/>
      <c r="F748" s="94"/>
      <c r="G748" s="505"/>
      <c r="H748" s="463" t="str">
        <f t="shared" si="883"/>
        <v/>
      </c>
      <c r="I748" s="451"/>
      <c r="J748" s="506"/>
      <c r="K748" s="507"/>
      <c r="L748" s="506"/>
      <c r="M748" s="507"/>
      <c r="N748" s="507"/>
      <c r="O748" s="507"/>
      <c r="P748" s="508"/>
      <c r="Q748" s="512"/>
      <c r="R748" s="513"/>
      <c r="S748" s="131"/>
      <c r="T748" s="470" t="str">
        <f t="shared" si="884"/>
        <v/>
      </c>
      <c r="V748" s="549"/>
      <c r="W748" s="471">
        <f t="shared" ref="W748:X748" si="904">W747</f>
        <v>29</v>
      </c>
      <c r="X748" s="471" t="e">
        <f t="shared" si="904"/>
        <v>#REF!</v>
      </c>
      <c r="Y748" s="471" t="e">
        <f t="shared" si="847"/>
        <v>#REF!</v>
      </c>
      <c r="Z748" s="471"/>
      <c r="AA748" s="471"/>
      <c r="AC748" s="435"/>
      <c r="AD748" s="435"/>
      <c r="AE748" s="435"/>
    </row>
    <row r="749" spans="1:40" s="470" customFormat="1" ht="15.75" customHeight="1" x14ac:dyDescent="0.15">
      <c r="B749" s="95"/>
      <c r="C749" s="140"/>
      <c r="D749" s="95"/>
      <c r="E749" s="141"/>
      <c r="F749" s="94"/>
      <c r="G749" s="505"/>
      <c r="H749" s="463" t="str">
        <f t="shared" si="883"/>
        <v/>
      </c>
      <c r="I749" s="451"/>
      <c r="J749" s="506"/>
      <c r="K749" s="507"/>
      <c r="L749" s="506"/>
      <c r="M749" s="507"/>
      <c r="N749" s="507"/>
      <c r="O749" s="507"/>
      <c r="P749" s="508"/>
      <c r="Q749" s="512"/>
      <c r="R749" s="513"/>
      <c r="S749" s="131"/>
      <c r="T749" s="470" t="str">
        <f t="shared" si="884"/>
        <v/>
      </c>
      <c r="V749" s="549"/>
      <c r="W749" s="471">
        <f t="shared" ref="W749:X749" si="905">W748</f>
        <v>29</v>
      </c>
      <c r="X749" s="471" t="e">
        <f t="shared" si="905"/>
        <v>#REF!</v>
      </c>
      <c r="Y749" s="471" t="e">
        <f t="shared" si="847"/>
        <v>#REF!</v>
      </c>
      <c r="Z749" s="471"/>
      <c r="AA749" s="471"/>
    </row>
    <row r="750" spans="1:40" s="470" customFormat="1" ht="15.75" customHeight="1" x14ac:dyDescent="0.15">
      <c r="B750" s="95"/>
      <c r="C750" s="140"/>
      <c r="D750" s="95"/>
      <c r="E750" s="141"/>
      <c r="F750" s="94"/>
      <c r="G750" s="505"/>
      <c r="H750" s="463" t="str">
        <f t="shared" si="883"/>
        <v/>
      </c>
      <c r="I750" s="451"/>
      <c r="J750" s="506"/>
      <c r="K750" s="507"/>
      <c r="L750" s="506"/>
      <c r="M750" s="507"/>
      <c r="N750" s="507"/>
      <c r="O750" s="507"/>
      <c r="P750" s="508"/>
      <c r="Q750" s="512"/>
      <c r="R750" s="513"/>
      <c r="S750" s="131"/>
      <c r="T750" s="470" t="str">
        <f t="shared" si="884"/>
        <v/>
      </c>
      <c r="V750" s="549"/>
      <c r="W750" s="471">
        <f t="shared" ref="W750:X750" si="906">W749</f>
        <v>29</v>
      </c>
      <c r="X750" s="471" t="e">
        <f t="shared" si="906"/>
        <v>#REF!</v>
      </c>
      <c r="Y750" s="471" t="e">
        <f t="shared" si="847"/>
        <v>#REF!</v>
      </c>
      <c r="Z750" s="471"/>
      <c r="AA750" s="471"/>
    </row>
    <row r="751" spans="1:40" s="470" customFormat="1" ht="15.75" customHeight="1" x14ac:dyDescent="0.15">
      <c r="B751" s="95"/>
      <c r="C751" s="140"/>
      <c r="D751" s="95"/>
      <c r="E751" s="141"/>
      <c r="F751" s="94"/>
      <c r="G751" s="505"/>
      <c r="H751" s="463" t="str">
        <f t="shared" si="883"/>
        <v/>
      </c>
      <c r="I751" s="451"/>
      <c r="J751" s="506"/>
      <c r="K751" s="507"/>
      <c r="L751" s="506"/>
      <c r="M751" s="507"/>
      <c r="N751" s="507"/>
      <c r="O751" s="507"/>
      <c r="P751" s="508"/>
      <c r="Q751" s="512"/>
      <c r="R751" s="513"/>
      <c r="S751" s="131"/>
      <c r="T751" s="470" t="str">
        <f t="shared" si="884"/>
        <v/>
      </c>
      <c r="V751" s="549"/>
      <c r="W751" s="471">
        <f t="shared" ref="W751:X751" si="907">W750</f>
        <v>29</v>
      </c>
      <c r="X751" s="471" t="e">
        <f t="shared" si="907"/>
        <v>#REF!</v>
      </c>
      <c r="Y751" s="471" t="e">
        <f t="shared" si="847"/>
        <v>#REF!</v>
      </c>
      <c r="Z751" s="471"/>
      <c r="AA751" s="471"/>
    </row>
    <row r="752" spans="1:40" s="470" customFormat="1" ht="15.75" customHeight="1" x14ac:dyDescent="0.15">
      <c r="B752" s="514" t="s">
        <v>751</v>
      </c>
      <c r="C752" s="515"/>
      <c r="D752" s="516"/>
      <c r="E752" s="517"/>
      <c r="F752" s="518"/>
      <c r="G752" s="519"/>
      <c r="H752" s="463" t="str">
        <f t="shared" si="883"/>
        <v/>
      </c>
      <c r="I752" s="520">
        <f>목록!$B$35</f>
        <v>29</v>
      </c>
      <c r="J752" s="521"/>
      <c r="K752" s="522">
        <f>SUM(K738:K751)</f>
        <v>2671</v>
      </c>
      <c r="L752" s="521"/>
      <c r="M752" s="522">
        <f>SUM(M738:M751)</f>
        <v>6995</v>
      </c>
      <c r="N752" s="521"/>
      <c r="O752" s="522">
        <f>SUM(O738:O751)</f>
        <v>0</v>
      </c>
      <c r="P752" s="523"/>
      <c r="Q752" s="512"/>
      <c r="R752" s="513"/>
      <c r="S752" s="524"/>
      <c r="T752" s="470" t="str">
        <f t="shared" si="884"/>
        <v/>
      </c>
      <c r="V752" s="549"/>
      <c r="W752" s="471">
        <f t="shared" ref="W752:X752" si="908">W751</f>
        <v>29</v>
      </c>
      <c r="X752" s="471" t="e">
        <f t="shared" si="908"/>
        <v>#REF!</v>
      </c>
      <c r="Y752" s="471" t="e">
        <f t="shared" si="847"/>
        <v>#REF!</v>
      </c>
      <c r="Z752" s="471"/>
      <c r="AA752" s="471"/>
    </row>
    <row r="753" spans="1:40" s="470" customFormat="1" ht="15.75" customHeight="1" x14ac:dyDescent="0.15">
      <c r="A753" s="457"/>
      <c r="B753" s="453"/>
      <c r="C753" s="209" t="s">
        <v>1031</v>
      </c>
      <c r="D753" s="95"/>
      <c r="E753" s="141"/>
      <c r="F753" s="94"/>
      <c r="G753" s="505"/>
      <c r="H753" s="463" t="str">
        <f t="shared" si="883"/>
        <v>※ 건축표준품셈 : 11-3-1 판붙임 2. 석고판 가. 나사고정</v>
      </c>
      <c r="I753" s="451"/>
      <c r="J753" s="506"/>
      <c r="K753" s="507"/>
      <c r="L753" s="506"/>
      <c r="M753" s="507"/>
      <c r="N753" s="507"/>
      <c r="O753" s="507"/>
      <c r="P753" s="508"/>
      <c r="Q753" s="512"/>
      <c r="R753" s="513"/>
      <c r="S753" s="131"/>
      <c r="T753" s="470" t="str">
        <f t="shared" si="884"/>
        <v/>
      </c>
      <c r="V753" s="549"/>
      <c r="W753" s="615">
        <f t="shared" ref="W753:X753" si="909">W752</f>
        <v>29</v>
      </c>
      <c r="X753" s="471" t="e">
        <f t="shared" si="909"/>
        <v>#REF!</v>
      </c>
      <c r="Y753" s="471" t="e">
        <f t="shared" si="847"/>
        <v>#REF!</v>
      </c>
      <c r="Z753" s="471"/>
      <c r="AA753" s="471"/>
    </row>
    <row r="754" spans="1:40" s="470" customFormat="1" ht="15.75" customHeight="1" x14ac:dyDescent="0.15">
      <c r="B754" s="453"/>
      <c r="C754" s="209"/>
      <c r="D754" s="95"/>
      <c r="E754" s="141"/>
      <c r="F754" s="94"/>
      <c r="G754" s="505"/>
      <c r="H754" s="463" t="str">
        <f t="shared" si="883"/>
        <v/>
      </c>
      <c r="I754" s="451"/>
      <c r="J754" s="506"/>
      <c r="K754" s="507"/>
      <c r="L754" s="506"/>
      <c r="M754" s="507"/>
      <c r="N754" s="507"/>
      <c r="O754" s="507"/>
      <c r="P754" s="508"/>
      <c r="Q754" s="512"/>
      <c r="R754" s="513"/>
      <c r="S754" s="131"/>
      <c r="T754" s="470" t="str">
        <f t="shared" si="884"/>
        <v/>
      </c>
      <c r="U754" s="457"/>
      <c r="V754" s="551"/>
      <c r="W754" s="471">
        <f t="shared" ref="W754:X754" si="910">W753</f>
        <v>29</v>
      </c>
      <c r="X754" s="471" t="e">
        <f t="shared" si="910"/>
        <v>#REF!</v>
      </c>
      <c r="Y754" s="471" t="e">
        <f t="shared" si="847"/>
        <v>#REF!</v>
      </c>
      <c r="Z754" s="471"/>
      <c r="AA754" s="471"/>
      <c r="AB754" s="457"/>
      <c r="AF754" s="457"/>
      <c r="AG754" s="457"/>
      <c r="AH754" s="457"/>
      <c r="AI754" s="457"/>
      <c r="AJ754" s="457"/>
      <c r="AK754" s="457"/>
      <c r="AL754" s="457"/>
      <c r="AM754" s="457"/>
      <c r="AN754" s="457"/>
    </row>
    <row r="755" spans="1:40" s="457" customFormat="1" ht="15.75" customHeight="1" x14ac:dyDescent="0.15">
      <c r="A755" s="470"/>
      <c r="B755" s="514"/>
      <c r="C755" s="515"/>
      <c r="D755" s="516"/>
      <c r="E755" s="517"/>
      <c r="F755" s="518"/>
      <c r="G755" s="519"/>
      <c r="H755" s="463" t="str">
        <f t="shared" si="883"/>
        <v/>
      </c>
      <c r="I755" s="520"/>
      <c r="J755" s="521"/>
      <c r="K755" s="522"/>
      <c r="L755" s="521"/>
      <c r="M755" s="522"/>
      <c r="N755" s="521"/>
      <c r="O755" s="522"/>
      <c r="P755" s="523"/>
      <c r="Q755" s="512"/>
      <c r="R755" s="513"/>
      <c r="S755" s="524"/>
      <c r="T755" s="470" t="str">
        <f t="shared" si="884"/>
        <v/>
      </c>
      <c r="U755" s="470"/>
      <c r="V755" s="470"/>
      <c r="W755" s="471">
        <f t="shared" ref="W755:X755" si="911">W754</f>
        <v>29</v>
      </c>
      <c r="X755" s="471" t="e">
        <f t="shared" si="911"/>
        <v>#REF!</v>
      </c>
      <c r="Y755" s="471" t="e">
        <f t="shared" si="847"/>
        <v>#REF!</v>
      </c>
      <c r="Z755" s="471"/>
      <c r="AA755" s="471"/>
      <c r="AB755" s="470"/>
      <c r="AC755" s="470"/>
      <c r="AD755" s="470"/>
      <c r="AE755" s="470"/>
      <c r="AF755" s="470"/>
      <c r="AG755" s="470"/>
      <c r="AH755" s="470"/>
      <c r="AI755" s="470"/>
      <c r="AJ755" s="470"/>
      <c r="AK755" s="470"/>
      <c r="AL755" s="470"/>
      <c r="AM755" s="470"/>
      <c r="AN755" s="470"/>
    </row>
    <row r="756" spans="1:40" s="470" customFormat="1" ht="15.75" customHeight="1" x14ac:dyDescent="0.15">
      <c r="A756" s="457"/>
      <c r="B756" s="457"/>
      <c r="C756" s="458"/>
      <c r="D756" s="459"/>
      <c r="E756" s="460"/>
      <c r="F756" s="461"/>
      <c r="G756" s="462"/>
      <c r="H756" s="463" t="str">
        <f t="shared" ref="H756:H770" si="912">CONCATENATE(C756,E756,F756)</f>
        <v/>
      </c>
      <c r="I756" s="464"/>
      <c r="J756" s="465"/>
      <c r="K756" s="465"/>
      <c r="L756" s="465"/>
      <c r="M756" s="465"/>
      <c r="N756" s="465"/>
      <c r="O756" s="466"/>
      <c r="P756" s="467"/>
      <c r="Q756" s="468"/>
      <c r="R756" s="469"/>
      <c r="S756" s="467"/>
      <c r="T756" s="470" t="str">
        <f t="shared" si="884"/>
        <v/>
      </c>
      <c r="W756" s="533">
        <f t="shared" ref="W756" si="913">I778</f>
        <v>30</v>
      </c>
      <c r="X756" s="533" t="e">
        <f t="shared" ref="X756" si="914">X755+1</f>
        <v>#REF!</v>
      </c>
      <c r="Y756" s="533" t="e">
        <f t="shared" si="847"/>
        <v>#REF!</v>
      </c>
      <c r="Z756" s="533"/>
      <c r="AA756" s="533"/>
    </row>
    <row r="757" spans="1:40" s="470" customFormat="1" ht="15.75" customHeight="1" x14ac:dyDescent="0.15">
      <c r="A757" s="457"/>
      <c r="B757" s="473"/>
      <c r="C757" s="474" t="str">
        <f>"   항목번호 : "&amp;목록!L$36</f>
        <v xml:space="preserve">   항목번호 : 제30호표</v>
      </c>
      <c r="D757" s="475">
        <f>목록!B$36</f>
        <v>30</v>
      </c>
      <c r="E757" s="476"/>
      <c r="F757" s="477"/>
      <c r="G757" s="478"/>
      <c r="H757" s="463" t="str">
        <f t="shared" si="912"/>
        <v xml:space="preserve">   항목번호 : 제30호표</v>
      </c>
      <c r="I757" s="479"/>
      <c r="J757" s="480"/>
      <c r="K757" s="481"/>
      <c r="L757" s="482"/>
      <c r="M757" s="482"/>
      <c r="N757" s="482"/>
      <c r="O757" s="466"/>
      <c r="P757" s="483"/>
      <c r="Q757" s="484"/>
      <c r="R757" s="485"/>
      <c r="S757" s="483"/>
      <c r="T757" s="470" t="str">
        <f t="shared" si="884"/>
        <v/>
      </c>
      <c r="U757" s="457"/>
      <c r="W757" s="471">
        <f t="shared" ref="W757:X757" si="915">W756</f>
        <v>30</v>
      </c>
      <c r="X757" s="471" t="e">
        <f t="shared" si="915"/>
        <v>#REF!</v>
      </c>
      <c r="Y757" s="471" t="e">
        <f t="shared" si="847"/>
        <v>#REF!</v>
      </c>
      <c r="Z757" s="471"/>
      <c r="AA757" s="471"/>
      <c r="AF757" s="457"/>
      <c r="AG757" s="457"/>
      <c r="AH757" s="457"/>
      <c r="AI757" s="457"/>
      <c r="AJ757" s="457"/>
      <c r="AK757" s="457"/>
      <c r="AL757" s="457"/>
      <c r="AM757" s="457"/>
      <c r="AN757" s="457"/>
    </row>
    <row r="758" spans="1:40" s="457" customFormat="1" ht="15.75" customHeight="1" x14ac:dyDescent="0.15">
      <c r="B758" s="473"/>
      <c r="C758" s="474" t="str">
        <f>"   공      종 : "&amp;목록!D$36</f>
        <v xml:space="preserve">   공      종 : 석고보드취부(벽)</v>
      </c>
      <c r="D758" s="484"/>
      <c r="E758" s="476"/>
      <c r="F758" s="473"/>
      <c r="G758" s="478"/>
      <c r="H758" s="463" t="str">
        <f t="shared" si="912"/>
        <v xml:space="preserve">   공      종 : 석고보드취부(벽)</v>
      </c>
      <c r="I758" s="479"/>
      <c r="J758" s="480"/>
      <c r="K758" s="481"/>
      <c r="L758" s="482"/>
      <c r="M758" s="482"/>
      <c r="N758" s="482"/>
      <c r="O758" s="466"/>
      <c r="P758" s="483"/>
      <c r="Q758" s="484"/>
      <c r="R758" s="485"/>
      <c r="S758" s="483"/>
      <c r="T758" s="470" t="str">
        <f t="shared" si="884"/>
        <v/>
      </c>
      <c r="V758" s="470"/>
      <c r="W758" s="471">
        <f t="shared" ref="W758:X758" si="916">W757</f>
        <v>30</v>
      </c>
      <c r="X758" s="471" t="e">
        <f t="shared" si="916"/>
        <v>#REF!</v>
      </c>
      <c r="Y758" s="471" t="e">
        <f t="shared" si="847"/>
        <v>#REF!</v>
      </c>
      <c r="Z758" s="471"/>
      <c r="AA758" s="471"/>
    </row>
    <row r="759" spans="1:40" s="457" customFormat="1" ht="15.75" customHeight="1" x14ac:dyDescent="0.15">
      <c r="B759" s="473"/>
      <c r="C759" s="474" t="str">
        <f xml:space="preserve"> "   규      격 : "&amp;목록!F$36</f>
        <v xml:space="preserve">   규      격 : THK=9.5mm * 2PLY</v>
      </c>
      <c r="D759" s="484"/>
      <c r="E759" s="476"/>
      <c r="F759" s="473"/>
      <c r="G759" s="478"/>
      <c r="H759" s="463" t="str">
        <f t="shared" si="912"/>
        <v xml:space="preserve">   규      격 : THK=9.5mm * 2PLY</v>
      </c>
      <c r="I759" s="479"/>
      <c r="J759" s="480" t="s">
        <v>348</v>
      </c>
      <c r="K759" s="481"/>
      <c r="L759" s="482" t="s">
        <v>349</v>
      </c>
      <c r="M759" s="482"/>
      <c r="N759" s="482" t="s">
        <v>240</v>
      </c>
      <c r="O759" s="466"/>
      <c r="P759" s="483"/>
      <c r="Q759" s="484" t="s">
        <v>752</v>
      </c>
      <c r="R759" s="484"/>
      <c r="S759" s="483"/>
      <c r="T759" s="470" t="str">
        <f t="shared" si="884"/>
        <v>합계</v>
      </c>
      <c r="V759" s="547"/>
      <c r="W759" s="471">
        <f t="shared" ref="W759:X759" si="917">W758</f>
        <v>30</v>
      </c>
      <c r="X759" s="471" t="e">
        <f t="shared" si="917"/>
        <v>#REF!</v>
      </c>
      <c r="Y759" s="471" t="e">
        <f t="shared" si="847"/>
        <v>#REF!</v>
      </c>
      <c r="Z759" s="471"/>
      <c r="AA759" s="471"/>
      <c r="AC759" s="470"/>
      <c r="AD759" s="470"/>
      <c r="AE759" s="470"/>
    </row>
    <row r="760" spans="1:40" s="457" customFormat="1" ht="15.75" customHeight="1" x14ac:dyDescent="0.15">
      <c r="B760" s="473"/>
      <c r="C760" s="474" t="str">
        <f>"   단      위 : "&amp;목록!G$36</f>
        <v xml:space="preserve">   단      위 : ㎡</v>
      </c>
      <c r="D760" s="484"/>
      <c r="E760" s="476"/>
      <c r="F760" s="473"/>
      <c r="G760" s="478"/>
      <c r="H760" s="463" t="str">
        <f t="shared" si="912"/>
        <v xml:space="preserve">   단      위 : ㎡</v>
      </c>
      <c r="I760" s="479"/>
      <c r="J760" s="486">
        <f>K778</f>
        <v>5668</v>
      </c>
      <c r="K760" s="481"/>
      <c r="L760" s="487">
        <f>M778</f>
        <v>13991</v>
      </c>
      <c r="M760" s="482"/>
      <c r="N760" s="482">
        <f>O778</f>
        <v>0</v>
      </c>
      <c r="O760" s="466"/>
      <c r="P760" s="483"/>
      <c r="Q760" s="488">
        <f>J760+L760+N760</f>
        <v>19659</v>
      </c>
      <c r="R760" s="489"/>
      <c r="S760" s="483"/>
      <c r="T760" s="470" t="str">
        <f t="shared" si="884"/>
        <v>19659</v>
      </c>
      <c r="V760" s="547"/>
      <c r="W760" s="471">
        <f t="shared" ref="W760:X760" si="918">W759</f>
        <v>30</v>
      </c>
      <c r="X760" s="471" t="e">
        <f t="shared" si="918"/>
        <v>#REF!</v>
      </c>
      <c r="Y760" s="471" t="e">
        <f t="shared" si="847"/>
        <v>#REF!</v>
      </c>
      <c r="Z760" s="471"/>
      <c r="AA760" s="471"/>
      <c r="AC760" s="470"/>
      <c r="AD760" s="470"/>
      <c r="AE760" s="470"/>
    </row>
    <row r="761" spans="1:40" s="457" customFormat="1" ht="15.75" customHeight="1" x14ac:dyDescent="0.15">
      <c r="B761" s="473"/>
      <c r="C761" s="474"/>
      <c r="D761" s="484"/>
      <c r="E761" s="476"/>
      <c r="F761" s="473"/>
      <c r="G761" s="490"/>
      <c r="H761" s="463" t="str">
        <f t="shared" si="912"/>
        <v/>
      </c>
      <c r="I761" s="491"/>
      <c r="J761" s="482"/>
      <c r="K761" s="465"/>
      <c r="L761" s="482"/>
      <c r="M761" s="482"/>
      <c r="N761" s="482"/>
      <c r="O761" s="466"/>
      <c r="P761" s="492"/>
      <c r="Q761" s="493"/>
      <c r="R761" s="485"/>
      <c r="S761" s="492"/>
      <c r="T761" s="470" t="str">
        <f t="shared" si="884"/>
        <v/>
      </c>
      <c r="V761" s="547"/>
      <c r="W761" s="471">
        <f t="shared" ref="W761:X761" si="919">W760</f>
        <v>30</v>
      </c>
      <c r="X761" s="471" t="e">
        <f t="shared" si="919"/>
        <v>#REF!</v>
      </c>
      <c r="Y761" s="471" t="e">
        <f t="shared" si="847"/>
        <v>#REF!</v>
      </c>
      <c r="Z761" s="471"/>
      <c r="AA761" s="471"/>
    </row>
    <row r="762" spans="1:40" s="457" customFormat="1" ht="15.75" customHeight="1" x14ac:dyDescent="0.15">
      <c r="B762" s="899" t="s">
        <v>375</v>
      </c>
      <c r="C762" s="900"/>
      <c r="D762" s="907" t="s">
        <v>356</v>
      </c>
      <c r="E762" s="908"/>
      <c r="F762" s="903" t="s">
        <v>780</v>
      </c>
      <c r="G762" s="913" t="s">
        <v>781</v>
      </c>
      <c r="H762" s="463" t="str">
        <f t="shared" si="912"/>
        <v>단위</v>
      </c>
      <c r="I762" s="494"/>
      <c r="J762" s="495" t="s">
        <v>348</v>
      </c>
      <c r="K762" s="496"/>
      <c r="L762" s="495" t="s">
        <v>349</v>
      </c>
      <c r="M762" s="496"/>
      <c r="N762" s="497" t="s">
        <v>240</v>
      </c>
      <c r="O762" s="497"/>
      <c r="P762" s="498"/>
      <c r="Q762" s="744" t="s">
        <v>355</v>
      </c>
      <c r="R762" s="744"/>
      <c r="S762" s="499"/>
      <c r="T762" s="470" t="str">
        <f t="shared" si="884"/>
        <v>비  고</v>
      </c>
      <c r="V762" s="547"/>
      <c r="W762" s="471">
        <f t="shared" ref="W762:X762" si="920">W761</f>
        <v>30</v>
      </c>
      <c r="X762" s="471" t="e">
        <f t="shared" si="920"/>
        <v>#REF!</v>
      </c>
      <c r="Y762" s="471" t="e">
        <f t="shared" si="847"/>
        <v>#REF!</v>
      </c>
      <c r="Z762" s="471"/>
      <c r="AA762" s="471"/>
    </row>
    <row r="763" spans="1:40" s="457" customFormat="1" ht="15.75" customHeight="1" x14ac:dyDescent="0.15">
      <c r="A763" s="547"/>
      <c r="B763" s="901"/>
      <c r="C763" s="902"/>
      <c r="D763" s="909"/>
      <c r="E763" s="910"/>
      <c r="F763" s="904"/>
      <c r="G763" s="914"/>
      <c r="H763" s="463" t="str">
        <f t="shared" si="912"/>
        <v/>
      </c>
      <c r="I763" s="500"/>
      <c r="J763" s="501" t="s">
        <v>353</v>
      </c>
      <c r="K763" s="501" t="s">
        <v>354</v>
      </c>
      <c r="L763" s="501" t="s">
        <v>353</v>
      </c>
      <c r="M763" s="502" t="s">
        <v>354</v>
      </c>
      <c r="N763" s="501" t="s">
        <v>353</v>
      </c>
      <c r="O763" s="501" t="s">
        <v>354</v>
      </c>
      <c r="P763" s="503"/>
      <c r="Q763" s="745"/>
      <c r="R763" s="745"/>
      <c r="S763" s="504"/>
      <c r="T763" s="470" t="str">
        <f t="shared" si="884"/>
        <v/>
      </c>
      <c r="V763" s="547"/>
      <c r="W763" s="471">
        <f t="shared" ref="W763:X763" si="921">W762</f>
        <v>30</v>
      </c>
      <c r="X763" s="471" t="e">
        <f t="shared" si="921"/>
        <v>#REF!</v>
      </c>
      <c r="Y763" s="471" t="e">
        <f t="shared" si="847"/>
        <v>#REF!</v>
      </c>
      <c r="Z763" s="471"/>
      <c r="AA763" s="471"/>
    </row>
    <row r="764" spans="1:40" s="457" customFormat="1" ht="15.75" customHeight="1" x14ac:dyDescent="0.15">
      <c r="A764" s="547"/>
      <c r="B764" s="95"/>
      <c r="C764" s="140" t="s">
        <v>909</v>
      </c>
      <c r="D764" s="95"/>
      <c r="E764" s="141" t="s">
        <v>910</v>
      </c>
      <c r="F764" s="94" t="s">
        <v>768</v>
      </c>
      <c r="G764" s="505">
        <f>TRUNC(1.05*2,4)</f>
        <v>2.1</v>
      </c>
      <c r="H764" s="463" t="str">
        <f t="shared" si="912"/>
        <v>석고보드THK=9.5*3'*6'㎡</v>
      </c>
      <c r="I764" s="451" t="str">
        <f>CONCATENATE(C764,E764,F764)</f>
        <v>석고보드THK=9.5*3'*6'㎡</v>
      </c>
      <c r="J764" s="506">
        <f>IF(OR($F764="인",$F764=""),"",VLOOKUP($H764,단가!$A:$S,19,FALSE))</f>
        <v>2407</v>
      </c>
      <c r="K764" s="507">
        <f t="shared" ref="K764:K769" si="922">IF(J764="","",TRUNC($G764*J764,0))</f>
        <v>5054</v>
      </c>
      <c r="L764" s="506" t="str">
        <f>IF($F764="인",VLOOKUP($C:$C,노임!$C:$G,4,FALSE),"")</f>
        <v/>
      </c>
      <c r="M764" s="507" t="str">
        <f>IF(L764="","",TRUNC($G764*L764,0))</f>
        <v/>
      </c>
      <c r="N764" s="507"/>
      <c r="O764" s="507" t="str">
        <f>IF(N764="","",TRUNC($G764*N764,0))</f>
        <v/>
      </c>
      <c r="P764" s="508"/>
      <c r="Q764" s="509" t="str">
        <f>IF(F764="인","노임"&amp;VLOOKUP($C:$C,노임!C:G,5,FALSE)&amp;"번","단가"&amp;VLOOKUP($H:$H,단가!$A:$B,2,FALSE)&amp;"번")</f>
        <v>단가54번</v>
      </c>
      <c r="R764" s="510"/>
      <c r="S764" s="131"/>
      <c r="T764" s="470" t="str">
        <f t="shared" si="884"/>
        <v>단가54번</v>
      </c>
      <c r="V764" s="548"/>
      <c r="W764" s="471">
        <f t="shared" ref="W764:X764" si="923">W763</f>
        <v>30</v>
      </c>
      <c r="X764" s="471" t="e">
        <f t="shared" si="923"/>
        <v>#REF!</v>
      </c>
      <c r="Y764" s="471" t="e">
        <f t="shared" si="847"/>
        <v>#REF!</v>
      </c>
      <c r="Z764" s="471"/>
      <c r="AA764" s="471"/>
    </row>
    <row r="765" spans="1:40" s="457" customFormat="1" ht="15.75" customHeight="1" x14ac:dyDescent="0.15">
      <c r="A765" s="470"/>
      <c r="B765" s="95"/>
      <c r="C765" s="140" t="s">
        <v>572</v>
      </c>
      <c r="D765" s="95"/>
      <c r="E765" s="206" t="s">
        <v>836</v>
      </c>
      <c r="F765" s="94" t="s">
        <v>1017</v>
      </c>
      <c r="G765" s="505">
        <v>1</v>
      </c>
      <c r="H765" s="463" t="str">
        <f t="shared" si="912"/>
        <v>잡재료 및 소모재료주재료비의 3%식</v>
      </c>
      <c r="I765" s="451" t="str">
        <f>CONCATENATE(C765,E765,F765)</f>
        <v>잡재료 및 소모재료주재료비의 3%식</v>
      </c>
      <c r="J765" s="506">
        <f>TRUNC((K764)*3%,0)</f>
        <v>151</v>
      </c>
      <c r="K765" s="507">
        <f t="shared" si="922"/>
        <v>151</v>
      </c>
      <c r="L765" s="506" t="str">
        <f>IF($F765="인",VLOOKUP($C:$C,노임!$C:$G,4,FALSE),"")</f>
        <v/>
      </c>
      <c r="M765" s="507" t="str">
        <f>IF(L765="","",TRUNC($G765*L765,0))</f>
        <v/>
      </c>
      <c r="N765" s="507"/>
      <c r="O765" s="507" t="str">
        <f>IF(N765="","",TRUNC($G765*N765,0))</f>
        <v/>
      </c>
      <c r="P765" s="508"/>
      <c r="Q765" s="509"/>
      <c r="R765" s="510"/>
      <c r="S765" s="131"/>
      <c r="T765" s="470" t="str">
        <f t="shared" si="884"/>
        <v/>
      </c>
      <c r="V765" s="548"/>
      <c r="W765" s="471">
        <f t="shared" ref="W765:X765" si="924">W764</f>
        <v>30</v>
      </c>
      <c r="X765" s="471" t="e">
        <f t="shared" si="924"/>
        <v>#REF!</v>
      </c>
      <c r="Y765" s="471" t="e">
        <f t="shared" ref="Y765:Y781" si="925">X765-W765</f>
        <v>#REF!</v>
      </c>
      <c r="Z765" s="471"/>
      <c r="AA765" s="471"/>
    </row>
    <row r="766" spans="1:40" s="457" customFormat="1" ht="15.75" customHeight="1" x14ac:dyDescent="0.15">
      <c r="A766" s="470"/>
      <c r="B766" s="95"/>
      <c r="C766" s="140" t="s">
        <v>824</v>
      </c>
      <c r="D766" s="95"/>
      <c r="E766" s="141" t="s">
        <v>897</v>
      </c>
      <c r="F766" s="94" t="s">
        <v>739</v>
      </c>
      <c r="G766" s="505">
        <v>0.27</v>
      </c>
      <c r="H766" s="463" t="str">
        <f t="shared" si="912"/>
        <v>접착제오공 205Kg</v>
      </c>
      <c r="I766" s="451" t="str">
        <f>CONCATENATE(C766,E766,F766)</f>
        <v>접착제오공 205Kg</v>
      </c>
      <c r="J766" s="506">
        <f>IF(OR($F766="인",$F766=""),"",VLOOKUP($H766,단가!$A:$S,19,FALSE))</f>
        <v>1200</v>
      </c>
      <c r="K766" s="507">
        <f t="shared" si="922"/>
        <v>324</v>
      </c>
      <c r="L766" s="506" t="str">
        <f>IF($F766="인",VLOOKUP($C:$C,노임!$C:$G,4,FALSE),"")</f>
        <v/>
      </c>
      <c r="M766" s="507" t="str">
        <f>IF(L766="","",TRUNC($G766*L766,0))</f>
        <v/>
      </c>
      <c r="N766" s="507"/>
      <c r="O766" s="507" t="str">
        <f>IF(N766="","",TRUNC($G766*N766,0))</f>
        <v/>
      </c>
      <c r="P766" s="508"/>
      <c r="Q766" s="509" t="str">
        <f>IF(F766="인","노임"&amp;VLOOKUP($C:$C,노임!C:G,5,FALSE)&amp;"번","단가"&amp;VLOOKUP($H:$H,단가!$A:$B,2,FALSE)&amp;"번")</f>
        <v>단가8번</v>
      </c>
      <c r="R766" s="510"/>
      <c r="S766" s="131"/>
      <c r="T766" s="470" t="str">
        <f t="shared" si="884"/>
        <v>단가8번</v>
      </c>
      <c r="V766" s="549"/>
      <c r="W766" s="471">
        <f t="shared" ref="W766:X766" si="926">W765</f>
        <v>30</v>
      </c>
      <c r="X766" s="471" t="e">
        <f t="shared" si="926"/>
        <v>#REF!</v>
      </c>
      <c r="Y766" s="471" t="e">
        <f t="shared" si="925"/>
        <v>#REF!</v>
      </c>
      <c r="Z766" s="471"/>
      <c r="AA766" s="471"/>
    </row>
    <row r="767" spans="1:40" s="457" customFormat="1" ht="15.75" customHeight="1" x14ac:dyDescent="0.15">
      <c r="A767" s="470"/>
      <c r="B767" s="95"/>
      <c r="C767" s="140" t="s">
        <v>911</v>
      </c>
      <c r="D767" s="95"/>
      <c r="E767" s="141"/>
      <c r="F767" s="94" t="s">
        <v>756</v>
      </c>
      <c r="G767" s="505">
        <f>TRUNC(0.066,4)</f>
        <v>6.6000000000000003E-2</v>
      </c>
      <c r="H767" s="463" t="str">
        <f t="shared" si="912"/>
        <v>내장공인</v>
      </c>
      <c r="I767" s="451" t="str">
        <f>CONCATENATE(C767,E767,F767)</f>
        <v>내장공인</v>
      </c>
      <c r="J767" s="506" t="str">
        <f>IF(OR($F767="인",$F767=""),"",VLOOKUP($H767,단가!$A:$S,19,FALSE))</f>
        <v/>
      </c>
      <c r="K767" s="507" t="str">
        <f t="shared" si="922"/>
        <v/>
      </c>
      <c r="L767" s="506">
        <f>IF($F767="인",VLOOKUP($C:$C,노임!$C:$G,4,FALSE),"")</f>
        <v>160195</v>
      </c>
      <c r="M767" s="507">
        <f>IF(L767="","",TRUNC($G767*L767,0))</f>
        <v>10572</v>
      </c>
      <c r="N767" s="507"/>
      <c r="O767" s="507" t="str">
        <f>IF(N767="","",TRUNC($G767*N767,0))</f>
        <v/>
      </c>
      <c r="P767" s="508"/>
      <c r="Q767" s="509" t="str">
        <f>IF(F767="인","노임"&amp;VLOOKUP($C:$C,노임!C:G,5,FALSE)&amp;"번","단가"&amp;VLOOKUP($H:$H,단가!$A:$B,2,FALSE)&amp;"번")</f>
        <v>노임1030번</v>
      </c>
      <c r="R767" s="510"/>
      <c r="S767" s="131"/>
      <c r="T767" s="470" t="str">
        <f t="shared" si="884"/>
        <v>노임1030번</v>
      </c>
      <c r="U767" s="470"/>
      <c r="V767" s="549"/>
      <c r="W767" s="471">
        <f t="shared" ref="W767:X767" si="927">W766</f>
        <v>30</v>
      </c>
      <c r="X767" s="471" t="e">
        <f t="shared" si="927"/>
        <v>#REF!</v>
      </c>
      <c r="Y767" s="471" t="e">
        <f t="shared" si="925"/>
        <v>#REF!</v>
      </c>
      <c r="Z767" s="471"/>
      <c r="AA767" s="471"/>
      <c r="AF767" s="470"/>
      <c r="AG767" s="470"/>
      <c r="AH767" s="470"/>
      <c r="AI767" s="470"/>
      <c r="AJ767" s="470"/>
      <c r="AK767" s="470"/>
      <c r="AL767" s="470"/>
      <c r="AM767" s="470"/>
      <c r="AN767" s="470"/>
    </row>
    <row r="768" spans="1:40" s="470" customFormat="1" ht="15.75" customHeight="1" x14ac:dyDescent="0.15">
      <c r="B768" s="95"/>
      <c r="C768" s="140" t="s">
        <v>772</v>
      </c>
      <c r="D768" s="95"/>
      <c r="E768" s="141"/>
      <c r="F768" s="94" t="s">
        <v>756</v>
      </c>
      <c r="G768" s="505">
        <f>TRUNC(0.032,4)</f>
        <v>3.2000000000000001E-2</v>
      </c>
      <c r="H768" s="463" t="str">
        <f t="shared" si="912"/>
        <v>보통인부인</v>
      </c>
      <c r="I768" s="451" t="str">
        <f>CONCATENATE(C768,E768,F768)</f>
        <v>보통인부인</v>
      </c>
      <c r="J768" s="506" t="str">
        <f>IF(OR($F768="인",$F768=""),"",VLOOKUP($H768,단가!$A:$S,19,FALSE))</f>
        <v/>
      </c>
      <c r="K768" s="507" t="str">
        <f t="shared" si="922"/>
        <v/>
      </c>
      <c r="L768" s="506">
        <f>IF($F768="인",VLOOKUP($C:$C,노임!$C:$G,4,FALSE),"")</f>
        <v>106846</v>
      </c>
      <c r="M768" s="507">
        <f>IF(L768="","",TRUNC($G768*L768,0))</f>
        <v>3419</v>
      </c>
      <c r="N768" s="507"/>
      <c r="O768" s="507" t="str">
        <f>IF(N768="","",TRUNC($G768*N768,0))</f>
        <v/>
      </c>
      <c r="P768" s="508"/>
      <c r="Q768" s="509" t="str">
        <f>IF(F768="인","노임"&amp;VLOOKUP($C:$C,노임!C:G,5,FALSE)&amp;"번","단가"&amp;VLOOKUP($H:$H,단가!$A:$B,2,FALSE)&amp;"번")</f>
        <v>노임1002번</v>
      </c>
      <c r="R768" s="510"/>
      <c r="S768" s="131"/>
      <c r="T768" s="470" t="str">
        <f t="shared" si="884"/>
        <v>노임1002번</v>
      </c>
      <c r="V768" s="549"/>
      <c r="W768" s="471">
        <f t="shared" ref="W768:X768" si="928">W767</f>
        <v>30</v>
      </c>
      <c r="X768" s="471" t="e">
        <f t="shared" si="928"/>
        <v>#REF!</v>
      </c>
      <c r="Y768" s="471" t="e">
        <f t="shared" si="925"/>
        <v>#REF!</v>
      </c>
      <c r="Z768" s="471"/>
      <c r="AA768" s="471"/>
      <c r="AC768" s="457"/>
      <c r="AD768" s="457"/>
      <c r="AE768" s="457"/>
    </row>
    <row r="769" spans="1:40" s="470" customFormat="1" ht="15.75" customHeight="1" x14ac:dyDescent="0.15">
      <c r="B769" s="95"/>
      <c r="C769" s="140" t="s">
        <v>815</v>
      </c>
      <c r="D769" s="95"/>
      <c r="E769" s="141" t="s">
        <v>950</v>
      </c>
      <c r="F769" s="94" t="s">
        <v>777</v>
      </c>
      <c r="G769" s="505">
        <v>1</v>
      </c>
      <c r="H769" s="463" t="str">
        <f t="shared" si="912"/>
        <v>공구손료인력품의 1%식</v>
      </c>
      <c r="I769" s="451"/>
      <c r="J769" s="506">
        <f>TRUNC((M767+M768)*1%,0)</f>
        <v>139</v>
      </c>
      <c r="K769" s="507">
        <f t="shared" si="922"/>
        <v>139</v>
      </c>
      <c r="L769" s="506"/>
      <c r="M769" s="507"/>
      <c r="N769" s="507"/>
      <c r="O769" s="507"/>
      <c r="P769" s="508"/>
      <c r="Q769" s="512"/>
      <c r="R769" s="534"/>
      <c r="S769" s="131"/>
      <c r="T769" s="470" t="str">
        <f t="shared" si="884"/>
        <v/>
      </c>
      <c r="V769" s="549"/>
      <c r="W769" s="471">
        <f t="shared" ref="W769:X769" si="929">W768</f>
        <v>30</v>
      </c>
      <c r="X769" s="471" t="e">
        <f t="shared" si="929"/>
        <v>#REF!</v>
      </c>
      <c r="Y769" s="471" t="e">
        <f t="shared" si="925"/>
        <v>#REF!</v>
      </c>
      <c r="Z769" s="471"/>
      <c r="AA769" s="471"/>
      <c r="AC769" s="457"/>
      <c r="AD769" s="457"/>
      <c r="AE769" s="457"/>
    </row>
    <row r="770" spans="1:40" s="470" customFormat="1" ht="15.75" customHeight="1" x14ac:dyDescent="0.15">
      <c r="A770" s="167"/>
      <c r="B770" s="95"/>
      <c r="C770" s="140"/>
      <c r="D770" s="95"/>
      <c r="E770" s="141"/>
      <c r="F770" s="94"/>
      <c r="G770" s="505"/>
      <c r="H770" s="463" t="str">
        <f t="shared" si="912"/>
        <v/>
      </c>
      <c r="I770" s="451"/>
      <c r="J770" s="506"/>
      <c r="K770" s="507"/>
      <c r="L770" s="506"/>
      <c r="M770" s="507"/>
      <c r="N770" s="507"/>
      <c r="O770" s="507"/>
      <c r="P770" s="508"/>
      <c r="Q770" s="512"/>
      <c r="R770" s="513"/>
      <c r="S770" s="131"/>
      <c r="T770" s="470" t="str">
        <f t="shared" si="884"/>
        <v/>
      </c>
      <c r="V770" s="549"/>
      <c r="W770" s="471">
        <f t="shared" ref="W770:X770" si="930">W769</f>
        <v>30</v>
      </c>
      <c r="X770" s="471" t="e">
        <f t="shared" si="930"/>
        <v>#REF!</v>
      </c>
      <c r="Y770" s="471" t="e">
        <f t="shared" si="925"/>
        <v>#REF!</v>
      </c>
      <c r="Z770" s="471"/>
      <c r="AA770" s="471"/>
    </row>
    <row r="771" spans="1:40" s="470" customFormat="1" ht="15.75" customHeight="1" x14ac:dyDescent="0.15">
      <c r="A771" s="167"/>
      <c r="B771" s="95"/>
      <c r="C771" s="140"/>
      <c r="D771" s="95"/>
      <c r="E771" s="141"/>
      <c r="F771" s="94"/>
      <c r="G771" s="505"/>
      <c r="H771" s="463" t="str">
        <f t="shared" ref="H771:H781" si="931">CONCATENATE(C771,E771,F771)</f>
        <v/>
      </c>
      <c r="I771" s="451"/>
      <c r="J771" s="506"/>
      <c r="K771" s="507"/>
      <c r="L771" s="506"/>
      <c r="M771" s="507"/>
      <c r="N771" s="507"/>
      <c r="O771" s="507"/>
      <c r="P771" s="508"/>
      <c r="Q771" s="512"/>
      <c r="R771" s="513"/>
      <c r="S771" s="131"/>
      <c r="T771" s="470" t="str">
        <f t="shared" si="884"/>
        <v/>
      </c>
      <c r="V771" s="549"/>
      <c r="W771" s="471">
        <f t="shared" ref="W771:X771" si="932">W770</f>
        <v>30</v>
      </c>
      <c r="X771" s="471" t="e">
        <f t="shared" si="932"/>
        <v>#REF!</v>
      </c>
      <c r="Y771" s="471" t="e">
        <f t="shared" si="925"/>
        <v>#REF!</v>
      </c>
      <c r="Z771" s="471"/>
      <c r="AA771" s="471"/>
    </row>
    <row r="772" spans="1:40" s="470" customFormat="1" ht="15.75" customHeight="1" x14ac:dyDescent="0.15">
      <c r="B772" s="95"/>
      <c r="C772" s="140"/>
      <c r="D772" s="95"/>
      <c r="E772" s="141"/>
      <c r="F772" s="94"/>
      <c r="G772" s="505"/>
      <c r="H772" s="463" t="str">
        <f t="shared" si="931"/>
        <v/>
      </c>
      <c r="I772" s="451"/>
      <c r="J772" s="506"/>
      <c r="K772" s="507"/>
      <c r="L772" s="506"/>
      <c r="M772" s="507"/>
      <c r="N772" s="507"/>
      <c r="O772" s="507"/>
      <c r="P772" s="508"/>
      <c r="Q772" s="512"/>
      <c r="R772" s="513"/>
      <c r="S772" s="131"/>
      <c r="T772" s="470" t="str">
        <f t="shared" si="884"/>
        <v/>
      </c>
      <c r="V772" s="549"/>
      <c r="W772" s="471">
        <f t="shared" ref="W772:X772" si="933">W771</f>
        <v>30</v>
      </c>
      <c r="X772" s="471" t="e">
        <f t="shared" si="933"/>
        <v>#REF!</v>
      </c>
      <c r="Y772" s="471" t="e">
        <f t="shared" si="925"/>
        <v>#REF!</v>
      </c>
      <c r="Z772" s="471"/>
      <c r="AA772" s="471"/>
      <c r="AB772" s="435"/>
    </row>
    <row r="773" spans="1:40" s="470" customFormat="1" ht="15.75" customHeight="1" x14ac:dyDescent="0.15">
      <c r="B773" s="95"/>
      <c r="C773" s="140"/>
      <c r="D773" s="95"/>
      <c r="E773" s="141"/>
      <c r="F773" s="94"/>
      <c r="G773" s="505"/>
      <c r="H773" s="463" t="str">
        <f t="shared" si="931"/>
        <v/>
      </c>
      <c r="I773" s="451"/>
      <c r="J773" s="506"/>
      <c r="K773" s="507"/>
      <c r="L773" s="506"/>
      <c r="M773" s="507"/>
      <c r="N773" s="507"/>
      <c r="O773" s="507"/>
      <c r="P773" s="508"/>
      <c r="Q773" s="512"/>
      <c r="R773" s="513"/>
      <c r="S773" s="131"/>
      <c r="T773" s="470" t="str">
        <f t="shared" si="884"/>
        <v/>
      </c>
      <c r="V773" s="549"/>
      <c r="W773" s="471">
        <f t="shared" ref="W773:X773" si="934">W772</f>
        <v>30</v>
      </c>
      <c r="X773" s="471" t="e">
        <f t="shared" si="934"/>
        <v>#REF!</v>
      </c>
      <c r="Y773" s="471" t="e">
        <f t="shared" si="925"/>
        <v>#REF!</v>
      </c>
      <c r="Z773" s="471"/>
      <c r="AA773" s="471"/>
    </row>
    <row r="774" spans="1:40" s="470" customFormat="1" ht="15.75" customHeight="1" x14ac:dyDescent="0.15">
      <c r="B774" s="95"/>
      <c r="C774" s="140"/>
      <c r="D774" s="95"/>
      <c r="E774" s="141"/>
      <c r="F774" s="94"/>
      <c r="G774" s="505"/>
      <c r="H774" s="463" t="str">
        <f t="shared" si="931"/>
        <v/>
      </c>
      <c r="I774" s="451"/>
      <c r="J774" s="506"/>
      <c r="K774" s="507"/>
      <c r="L774" s="506"/>
      <c r="M774" s="507"/>
      <c r="N774" s="507"/>
      <c r="O774" s="507"/>
      <c r="P774" s="508"/>
      <c r="Q774" s="512"/>
      <c r="R774" s="513"/>
      <c r="S774" s="131"/>
      <c r="T774" s="470" t="str">
        <f t="shared" si="884"/>
        <v/>
      </c>
      <c r="V774" s="549"/>
      <c r="W774" s="471">
        <f t="shared" ref="W774:X774" si="935">W773</f>
        <v>30</v>
      </c>
      <c r="X774" s="471" t="e">
        <f t="shared" si="935"/>
        <v>#REF!</v>
      </c>
      <c r="Y774" s="471" t="e">
        <f t="shared" si="925"/>
        <v>#REF!</v>
      </c>
      <c r="Z774" s="471"/>
      <c r="AA774" s="471"/>
    </row>
    <row r="775" spans="1:40" s="470" customFormat="1" ht="15.75" customHeight="1" x14ac:dyDescent="0.15">
      <c r="B775" s="95"/>
      <c r="C775" s="140"/>
      <c r="D775" s="95"/>
      <c r="E775" s="141"/>
      <c r="F775" s="94"/>
      <c r="G775" s="505"/>
      <c r="H775" s="463" t="str">
        <f t="shared" si="931"/>
        <v/>
      </c>
      <c r="I775" s="451"/>
      <c r="J775" s="506"/>
      <c r="K775" s="507"/>
      <c r="L775" s="506"/>
      <c r="M775" s="507"/>
      <c r="N775" s="507"/>
      <c r="O775" s="507"/>
      <c r="P775" s="508"/>
      <c r="Q775" s="512"/>
      <c r="R775" s="513"/>
      <c r="S775" s="131"/>
      <c r="T775" s="470" t="str">
        <f t="shared" si="884"/>
        <v/>
      </c>
      <c r="V775" s="549"/>
      <c r="W775" s="471">
        <f t="shared" ref="W775:X775" si="936">W774</f>
        <v>30</v>
      </c>
      <c r="X775" s="471" t="e">
        <f t="shared" si="936"/>
        <v>#REF!</v>
      </c>
      <c r="Y775" s="471" t="e">
        <f t="shared" si="925"/>
        <v>#REF!</v>
      </c>
      <c r="Z775" s="471"/>
      <c r="AA775" s="471"/>
    </row>
    <row r="776" spans="1:40" s="470" customFormat="1" ht="15.75" customHeight="1" x14ac:dyDescent="0.15">
      <c r="B776" s="95"/>
      <c r="C776" s="140"/>
      <c r="D776" s="95"/>
      <c r="E776" s="141"/>
      <c r="F776" s="94"/>
      <c r="G776" s="505"/>
      <c r="H776" s="463" t="str">
        <f t="shared" si="931"/>
        <v/>
      </c>
      <c r="I776" s="451"/>
      <c r="J776" s="506"/>
      <c r="K776" s="507"/>
      <c r="L776" s="506"/>
      <c r="M776" s="507"/>
      <c r="N776" s="507"/>
      <c r="O776" s="507"/>
      <c r="P776" s="508"/>
      <c r="Q776" s="512"/>
      <c r="R776" s="513"/>
      <c r="S776" s="131"/>
      <c r="T776" s="470" t="str">
        <f t="shared" si="884"/>
        <v/>
      </c>
      <c r="V776" s="549"/>
      <c r="W776" s="471">
        <f t="shared" ref="W776:X776" si="937">W775</f>
        <v>30</v>
      </c>
      <c r="X776" s="471" t="e">
        <f t="shared" si="937"/>
        <v>#REF!</v>
      </c>
      <c r="Y776" s="471" t="e">
        <f t="shared" si="925"/>
        <v>#REF!</v>
      </c>
      <c r="Z776" s="471"/>
      <c r="AA776" s="471"/>
    </row>
    <row r="777" spans="1:40" s="470" customFormat="1" ht="15.75" customHeight="1" x14ac:dyDescent="0.15">
      <c r="B777" s="453"/>
      <c r="C777" s="209"/>
      <c r="D777" s="95"/>
      <c r="E777" s="141"/>
      <c r="F777" s="94"/>
      <c r="G777" s="505"/>
      <c r="H777" s="463" t="str">
        <f t="shared" si="931"/>
        <v/>
      </c>
      <c r="I777" s="451"/>
      <c r="J777" s="506"/>
      <c r="K777" s="507"/>
      <c r="L777" s="506"/>
      <c r="M777" s="507"/>
      <c r="N777" s="507"/>
      <c r="O777" s="507"/>
      <c r="P777" s="508"/>
      <c r="Q777" s="512"/>
      <c r="R777" s="513"/>
      <c r="S777" s="131"/>
      <c r="T777" s="470" t="str">
        <f t="shared" si="884"/>
        <v/>
      </c>
      <c r="V777" s="549"/>
      <c r="W777" s="471">
        <f t="shared" ref="W777:X777" si="938">W776</f>
        <v>30</v>
      </c>
      <c r="X777" s="471" t="e">
        <f t="shared" si="938"/>
        <v>#REF!</v>
      </c>
      <c r="Y777" s="471" t="e">
        <f t="shared" si="925"/>
        <v>#REF!</v>
      </c>
      <c r="Z777" s="471"/>
      <c r="AA777" s="471"/>
    </row>
    <row r="778" spans="1:40" s="470" customFormat="1" ht="15.75" customHeight="1" x14ac:dyDescent="0.15">
      <c r="B778" s="514" t="s">
        <v>751</v>
      </c>
      <c r="C778" s="515"/>
      <c r="D778" s="516"/>
      <c r="E778" s="517"/>
      <c r="F778" s="518"/>
      <c r="G778" s="519"/>
      <c r="H778" s="463" t="str">
        <f>CONCATENATE(C778,E778,F778)</f>
        <v/>
      </c>
      <c r="I778" s="520">
        <f>목록!$B$36</f>
        <v>30</v>
      </c>
      <c r="J778" s="521"/>
      <c r="K778" s="522">
        <f>SUM(K764:K777)</f>
        <v>5668</v>
      </c>
      <c r="L778" s="521"/>
      <c r="M778" s="522">
        <f>SUM(M764:M777)</f>
        <v>13991</v>
      </c>
      <c r="N778" s="521"/>
      <c r="O778" s="522">
        <f>SUM(O764:O777)</f>
        <v>0</v>
      </c>
      <c r="P778" s="523"/>
      <c r="Q778" s="512"/>
      <c r="R778" s="513"/>
      <c r="S778" s="524"/>
      <c r="T778" s="470" t="str">
        <f t="shared" si="884"/>
        <v/>
      </c>
      <c r="V778" s="549"/>
      <c r="W778" s="471">
        <f t="shared" ref="W778:X778" si="939">W777</f>
        <v>30</v>
      </c>
      <c r="X778" s="471" t="e">
        <f t="shared" si="939"/>
        <v>#REF!</v>
      </c>
      <c r="Y778" s="471" t="e">
        <f t="shared" si="925"/>
        <v>#REF!</v>
      </c>
      <c r="Z778" s="471"/>
      <c r="AA778" s="471"/>
    </row>
    <row r="779" spans="1:40" s="470" customFormat="1" ht="15.75" customHeight="1" x14ac:dyDescent="0.15">
      <c r="A779" s="457"/>
      <c r="B779" s="453"/>
      <c r="C779" s="209" t="s">
        <v>1031</v>
      </c>
      <c r="D779" s="95"/>
      <c r="E779" s="141"/>
      <c r="F779" s="94"/>
      <c r="G779" s="505"/>
      <c r="H779" s="463" t="str">
        <f t="shared" si="931"/>
        <v>※ 건축표준품셈 : 11-3-1 판붙임 2. 석고판 가. 나사고정</v>
      </c>
      <c r="I779" s="451"/>
      <c r="J779" s="506"/>
      <c r="K779" s="507"/>
      <c r="L779" s="506"/>
      <c r="M779" s="507"/>
      <c r="N779" s="507"/>
      <c r="O779" s="507"/>
      <c r="P779" s="508"/>
      <c r="Q779" s="512"/>
      <c r="R779" s="513"/>
      <c r="S779" s="131"/>
      <c r="T779" s="470" t="str">
        <f t="shared" si="884"/>
        <v/>
      </c>
      <c r="V779" s="549"/>
      <c r="W779" s="615">
        <f t="shared" ref="W779:X779" si="940">W778</f>
        <v>30</v>
      </c>
      <c r="X779" s="471" t="e">
        <f t="shared" si="940"/>
        <v>#REF!</v>
      </c>
      <c r="Y779" s="471" t="e">
        <f t="shared" si="925"/>
        <v>#REF!</v>
      </c>
      <c r="Z779" s="471"/>
      <c r="AA779" s="471"/>
    </row>
    <row r="780" spans="1:40" s="470" customFormat="1" ht="15.75" customHeight="1" x14ac:dyDescent="0.15">
      <c r="B780" s="514"/>
      <c r="C780" s="515"/>
      <c r="D780" s="516"/>
      <c r="E780" s="517"/>
      <c r="F780" s="518"/>
      <c r="G780" s="519"/>
      <c r="H780" s="463" t="str">
        <f t="shared" si="931"/>
        <v/>
      </c>
      <c r="I780" s="520"/>
      <c r="J780" s="521"/>
      <c r="K780" s="522"/>
      <c r="L780" s="521"/>
      <c r="M780" s="522"/>
      <c r="N780" s="521"/>
      <c r="O780" s="522"/>
      <c r="P780" s="523"/>
      <c r="Q780" s="512"/>
      <c r="R780" s="513"/>
      <c r="S780" s="524"/>
      <c r="T780" s="470" t="str">
        <f t="shared" ref="T780:T781" si="941">CONCATENATE(Q780,R780)</f>
        <v/>
      </c>
      <c r="U780" s="457"/>
      <c r="V780" s="551"/>
      <c r="W780" s="471">
        <f t="shared" ref="W780:X780" si="942">W779</f>
        <v>30</v>
      </c>
      <c r="X780" s="471" t="e">
        <f t="shared" si="942"/>
        <v>#REF!</v>
      </c>
      <c r="Y780" s="471" t="e">
        <f t="shared" si="925"/>
        <v>#REF!</v>
      </c>
      <c r="Z780" s="471"/>
      <c r="AA780" s="471"/>
      <c r="AF780" s="457"/>
      <c r="AG780" s="457"/>
      <c r="AH780" s="457"/>
      <c r="AI780" s="457"/>
      <c r="AJ780" s="457"/>
      <c r="AK780" s="457"/>
      <c r="AL780" s="457"/>
      <c r="AM780" s="457"/>
      <c r="AN780" s="457"/>
    </row>
    <row r="781" spans="1:40" s="457" customFormat="1" ht="15.75" customHeight="1" x14ac:dyDescent="0.15">
      <c r="A781" s="470"/>
      <c r="B781" s="453"/>
      <c r="C781" s="209"/>
      <c r="D781" s="95"/>
      <c r="E781" s="141"/>
      <c r="F781" s="94"/>
      <c r="G781" s="505"/>
      <c r="H781" s="463" t="str">
        <f t="shared" si="931"/>
        <v/>
      </c>
      <c r="I781" s="451"/>
      <c r="J781" s="506"/>
      <c r="K781" s="507"/>
      <c r="L781" s="506"/>
      <c r="M781" s="507"/>
      <c r="N781" s="507"/>
      <c r="O781" s="507"/>
      <c r="P781" s="508"/>
      <c r="Q781" s="512"/>
      <c r="R781" s="513"/>
      <c r="S781" s="131"/>
      <c r="T781" s="470" t="str">
        <f t="shared" si="941"/>
        <v/>
      </c>
      <c r="U781" s="470"/>
      <c r="V781" s="470"/>
      <c r="W781" s="471">
        <f t="shared" ref="W781:X781" si="943">W780</f>
        <v>30</v>
      </c>
      <c r="X781" s="471" t="e">
        <f t="shared" si="943"/>
        <v>#REF!</v>
      </c>
      <c r="Y781" s="471" t="e">
        <f t="shared" si="925"/>
        <v>#REF!</v>
      </c>
      <c r="Z781" s="471"/>
      <c r="AA781" s="471"/>
      <c r="AC781" s="470"/>
      <c r="AD781" s="470"/>
      <c r="AE781" s="470"/>
      <c r="AF781" s="470"/>
      <c r="AG781" s="470"/>
      <c r="AH781" s="470"/>
      <c r="AI781" s="470"/>
      <c r="AJ781" s="470"/>
      <c r="AK781" s="470"/>
      <c r="AL781" s="470"/>
      <c r="AM781" s="470"/>
      <c r="AN781" s="470"/>
    </row>
    <row r="782" spans="1:40" s="470" customFormat="1" ht="15.75" customHeight="1" x14ac:dyDescent="0.15">
      <c r="A782" s="457"/>
      <c r="B782" s="457"/>
      <c r="C782" s="458"/>
      <c r="D782" s="459"/>
      <c r="E782" s="460"/>
      <c r="F782" s="461"/>
      <c r="G782" s="462"/>
      <c r="H782" s="463" t="str">
        <f t="shared" ref="H782:H796" si="944">CONCATENATE(C782,E782,F782)</f>
        <v/>
      </c>
      <c r="I782" s="464"/>
      <c r="J782" s="465"/>
      <c r="K782" s="465"/>
      <c r="L782" s="465"/>
      <c r="M782" s="465"/>
      <c r="N782" s="465"/>
      <c r="O782" s="466"/>
      <c r="P782" s="467"/>
      <c r="Q782" s="468"/>
      <c r="R782" s="469"/>
      <c r="S782" s="467"/>
      <c r="T782" s="470" t="str">
        <f t="shared" ref="T782:T807" si="945">CONCATENATE(Q782,R782)</f>
        <v/>
      </c>
      <c r="W782" s="533">
        <f t="shared" ref="W782" si="946">I804</f>
        <v>31</v>
      </c>
      <c r="X782" s="533" t="e">
        <f>#REF!+1</f>
        <v>#REF!</v>
      </c>
      <c r="Y782" s="533" t="e">
        <f t="shared" ref="Y782:Y807" si="947">X782-W782</f>
        <v>#REF!</v>
      </c>
      <c r="Z782" s="533"/>
      <c r="AA782" s="533"/>
      <c r="AC782" s="457"/>
      <c r="AD782" s="457"/>
      <c r="AE782" s="457"/>
    </row>
    <row r="783" spans="1:40" s="470" customFormat="1" ht="15.75" customHeight="1" x14ac:dyDescent="0.15">
      <c r="A783" s="457"/>
      <c r="B783" s="473"/>
      <c r="C783" s="474" t="str">
        <f>"   항목번호 : "&amp;목록!L$37</f>
        <v xml:space="preserve">   항목번호 : 제31호표</v>
      </c>
      <c r="D783" s="475">
        <f>목록!B$37</f>
        <v>31</v>
      </c>
      <c r="E783" s="476"/>
      <c r="F783" s="477"/>
      <c r="G783" s="478"/>
      <c r="H783" s="463" t="str">
        <f t="shared" si="944"/>
        <v xml:space="preserve">   항목번호 : 제31호표</v>
      </c>
      <c r="I783" s="479"/>
      <c r="J783" s="480"/>
      <c r="K783" s="481"/>
      <c r="L783" s="482"/>
      <c r="M783" s="482"/>
      <c r="N783" s="482"/>
      <c r="O783" s="466"/>
      <c r="P783" s="483"/>
      <c r="Q783" s="484"/>
      <c r="R783" s="485"/>
      <c r="S783" s="483"/>
      <c r="T783" s="470" t="str">
        <f t="shared" si="945"/>
        <v/>
      </c>
      <c r="U783" s="457"/>
      <c r="W783" s="471">
        <f t="shared" ref="W783:X783" si="948">W782</f>
        <v>31</v>
      </c>
      <c r="X783" s="471" t="e">
        <f t="shared" si="948"/>
        <v>#REF!</v>
      </c>
      <c r="Y783" s="471" t="e">
        <f t="shared" si="947"/>
        <v>#REF!</v>
      </c>
      <c r="Z783" s="471"/>
      <c r="AA783" s="471"/>
      <c r="AF783" s="457"/>
      <c r="AG783" s="457"/>
      <c r="AH783" s="457"/>
      <c r="AI783" s="457"/>
      <c r="AJ783" s="457"/>
      <c r="AK783" s="457"/>
      <c r="AL783" s="457"/>
      <c r="AM783" s="457"/>
      <c r="AN783" s="457"/>
    </row>
    <row r="784" spans="1:40" s="457" customFormat="1" ht="15.75" customHeight="1" x14ac:dyDescent="0.15">
      <c r="B784" s="473"/>
      <c r="C784" s="474" t="str">
        <f>"   공      종 : "&amp;목록!D$37</f>
        <v xml:space="preserve">   공      종 : 석고보드취부(천정)</v>
      </c>
      <c r="D784" s="484"/>
      <c r="E784" s="476"/>
      <c r="F784" s="473"/>
      <c r="G784" s="478"/>
      <c r="H784" s="463" t="str">
        <f t="shared" si="944"/>
        <v xml:space="preserve">   공      종 : 석고보드취부(천정)</v>
      </c>
      <c r="I784" s="479"/>
      <c r="J784" s="480"/>
      <c r="K784" s="481"/>
      <c r="L784" s="482"/>
      <c r="M784" s="482"/>
      <c r="N784" s="482"/>
      <c r="O784" s="466"/>
      <c r="P784" s="483"/>
      <c r="Q784" s="484"/>
      <c r="R784" s="485"/>
      <c r="S784" s="483"/>
      <c r="T784" s="470" t="str">
        <f t="shared" si="945"/>
        <v/>
      </c>
      <c r="V784" s="470"/>
      <c r="W784" s="471">
        <f t="shared" ref="W784:X784" si="949">W783</f>
        <v>31</v>
      </c>
      <c r="X784" s="471" t="e">
        <f t="shared" si="949"/>
        <v>#REF!</v>
      </c>
      <c r="Y784" s="471" t="e">
        <f t="shared" si="947"/>
        <v>#REF!</v>
      </c>
      <c r="Z784" s="471"/>
      <c r="AA784" s="471"/>
      <c r="AB784" s="470"/>
      <c r="AC784" s="470"/>
      <c r="AD784" s="470"/>
      <c r="AE784" s="470"/>
    </row>
    <row r="785" spans="1:40" s="457" customFormat="1" ht="15.75" customHeight="1" x14ac:dyDescent="0.15">
      <c r="B785" s="473"/>
      <c r="C785" s="474" t="str">
        <f xml:space="preserve"> "   규      격 : "&amp;목록!F$37</f>
        <v xml:space="preserve">   규      격 : THK=9.5mm * 2PLY</v>
      </c>
      <c r="D785" s="484"/>
      <c r="E785" s="476"/>
      <c r="F785" s="473"/>
      <c r="G785" s="478"/>
      <c r="H785" s="463" t="str">
        <f t="shared" si="944"/>
        <v xml:space="preserve">   규      격 : THK=9.5mm * 2PLY</v>
      </c>
      <c r="I785" s="479"/>
      <c r="J785" s="480" t="s">
        <v>348</v>
      </c>
      <c r="K785" s="481"/>
      <c r="L785" s="482" t="s">
        <v>349</v>
      </c>
      <c r="M785" s="482"/>
      <c r="N785" s="482" t="s">
        <v>240</v>
      </c>
      <c r="O785" s="466"/>
      <c r="P785" s="483"/>
      <c r="Q785" s="484" t="s">
        <v>752</v>
      </c>
      <c r="R785" s="484"/>
      <c r="S785" s="483"/>
      <c r="T785" s="470" t="str">
        <f t="shared" si="945"/>
        <v>합계</v>
      </c>
      <c r="V785" s="547"/>
      <c r="W785" s="471">
        <f t="shared" ref="W785:X785" si="950">W784</f>
        <v>31</v>
      </c>
      <c r="X785" s="471" t="e">
        <f t="shared" si="950"/>
        <v>#REF!</v>
      </c>
      <c r="Y785" s="471" t="e">
        <f t="shared" si="947"/>
        <v>#REF!</v>
      </c>
      <c r="Z785" s="471"/>
      <c r="AA785" s="471"/>
    </row>
    <row r="786" spans="1:40" s="457" customFormat="1" ht="15.75" customHeight="1" x14ac:dyDescent="0.15">
      <c r="B786" s="473"/>
      <c r="C786" s="474" t="str">
        <f>"   단      위 : "&amp;목록!G$37</f>
        <v xml:space="preserve">   단      위 : ㎡</v>
      </c>
      <c r="D786" s="484"/>
      <c r="E786" s="476"/>
      <c r="F786" s="473"/>
      <c r="G786" s="478"/>
      <c r="H786" s="463" t="str">
        <f t="shared" si="944"/>
        <v xml:space="preserve">   단      위 : ㎡</v>
      </c>
      <c r="I786" s="479"/>
      <c r="J786" s="486">
        <f>K804</f>
        <v>5710</v>
      </c>
      <c r="K786" s="481"/>
      <c r="L786" s="487">
        <f>M804</f>
        <v>18188</v>
      </c>
      <c r="M786" s="482"/>
      <c r="N786" s="482">
        <f>O804</f>
        <v>0</v>
      </c>
      <c r="O786" s="466"/>
      <c r="P786" s="483"/>
      <c r="Q786" s="488">
        <f>J786+L786+N786</f>
        <v>23898</v>
      </c>
      <c r="R786" s="489"/>
      <c r="S786" s="483"/>
      <c r="T786" s="470" t="str">
        <f t="shared" si="945"/>
        <v>23898</v>
      </c>
      <c r="V786" s="547"/>
      <c r="W786" s="471">
        <f t="shared" ref="W786:X786" si="951">W785</f>
        <v>31</v>
      </c>
      <c r="X786" s="471" t="e">
        <f t="shared" si="951"/>
        <v>#REF!</v>
      </c>
      <c r="Y786" s="471" t="e">
        <f t="shared" si="947"/>
        <v>#REF!</v>
      </c>
      <c r="Z786" s="471"/>
      <c r="AA786" s="471"/>
    </row>
    <row r="787" spans="1:40" s="457" customFormat="1" ht="15.75" customHeight="1" x14ac:dyDescent="0.15">
      <c r="B787" s="473"/>
      <c r="C787" s="474"/>
      <c r="D787" s="484"/>
      <c r="E787" s="476"/>
      <c r="F787" s="473"/>
      <c r="G787" s="490"/>
      <c r="H787" s="463" t="str">
        <f t="shared" si="944"/>
        <v/>
      </c>
      <c r="I787" s="491"/>
      <c r="J787" s="482"/>
      <c r="K787" s="465"/>
      <c r="L787" s="482"/>
      <c r="M787" s="482"/>
      <c r="N787" s="482"/>
      <c r="O787" s="466"/>
      <c r="P787" s="492"/>
      <c r="Q787" s="493"/>
      <c r="R787" s="485"/>
      <c r="S787" s="492"/>
      <c r="T787" s="470" t="str">
        <f t="shared" si="945"/>
        <v/>
      </c>
      <c r="V787" s="547"/>
      <c r="W787" s="471">
        <f t="shared" ref="W787:X787" si="952">W786</f>
        <v>31</v>
      </c>
      <c r="X787" s="471" t="e">
        <f t="shared" si="952"/>
        <v>#REF!</v>
      </c>
      <c r="Y787" s="471" t="e">
        <f t="shared" si="947"/>
        <v>#REF!</v>
      </c>
      <c r="Z787" s="471"/>
      <c r="AA787" s="471"/>
    </row>
    <row r="788" spans="1:40" s="457" customFormat="1" ht="15.75" customHeight="1" x14ac:dyDescent="0.15">
      <c r="B788" s="899" t="s">
        <v>375</v>
      </c>
      <c r="C788" s="900"/>
      <c r="D788" s="907" t="s">
        <v>356</v>
      </c>
      <c r="E788" s="908"/>
      <c r="F788" s="903" t="s">
        <v>785</v>
      </c>
      <c r="G788" s="913" t="s">
        <v>786</v>
      </c>
      <c r="H788" s="463" t="str">
        <f t="shared" si="944"/>
        <v>단위</v>
      </c>
      <c r="I788" s="494"/>
      <c r="J788" s="495" t="s">
        <v>348</v>
      </c>
      <c r="K788" s="496"/>
      <c r="L788" s="495" t="s">
        <v>349</v>
      </c>
      <c r="M788" s="496"/>
      <c r="N788" s="497" t="s">
        <v>240</v>
      </c>
      <c r="O788" s="497"/>
      <c r="P788" s="498"/>
      <c r="Q788" s="744" t="s">
        <v>355</v>
      </c>
      <c r="R788" s="744"/>
      <c r="S788" s="499"/>
      <c r="T788" s="470" t="str">
        <f t="shared" si="945"/>
        <v>비  고</v>
      </c>
      <c r="V788" s="547"/>
      <c r="W788" s="471">
        <f t="shared" ref="W788:X788" si="953">W787</f>
        <v>31</v>
      </c>
      <c r="X788" s="471" t="e">
        <f t="shared" si="953"/>
        <v>#REF!</v>
      </c>
      <c r="Y788" s="471" t="e">
        <f t="shared" si="947"/>
        <v>#REF!</v>
      </c>
      <c r="Z788" s="471"/>
      <c r="AA788" s="471"/>
    </row>
    <row r="789" spans="1:40" s="457" customFormat="1" ht="15.75" customHeight="1" x14ac:dyDescent="0.15">
      <c r="B789" s="901"/>
      <c r="C789" s="902"/>
      <c r="D789" s="909"/>
      <c r="E789" s="910"/>
      <c r="F789" s="904"/>
      <c r="G789" s="914"/>
      <c r="H789" s="463" t="str">
        <f t="shared" si="944"/>
        <v/>
      </c>
      <c r="I789" s="500"/>
      <c r="J789" s="501" t="s">
        <v>353</v>
      </c>
      <c r="K789" s="501" t="s">
        <v>354</v>
      </c>
      <c r="L789" s="501" t="s">
        <v>353</v>
      </c>
      <c r="M789" s="502" t="s">
        <v>354</v>
      </c>
      <c r="N789" s="501" t="s">
        <v>353</v>
      </c>
      <c r="O789" s="501" t="s">
        <v>354</v>
      </c>
      <c r="P789" s="503"/>
      <c r="Q789" s="745"/>
      <c r="R789" s="745"/>
      <c r="S789" s="504"/>
      <c r="T789" s="470" t="str">
        <f t="shared" si="945"/>
        <v/>
      </c>
      <c r="V789" s="547"/>
      <c r="W789" s="471">
        <f t="shared" ref="W789:X789" si="954">W788</f>
        <v>31</v>
      </c>
      <c r="X789" s="471" t="e">
        <f t="shared" si="954"/>
        <v>#REF!</v>
      </c>
      <c r="Y789" s="471" t="e">
        <f t="shared" si="947"/>
        <v>#REF!</v>
      </c>
      <c r="Z789" s="471"/>
      <c r="AA789" s="471"/>
    </row>
    <row r="790" spans="1:40" s="457" customFormat="1" ht="15.75" customHeight="1" x14ac:dyDescent="0.15">
      <c r="A790" s="547"/>
      <c r="B790" s="95"/>
      <c r="C790" s="140" t="s">
        <v>909</v>
      </c>
      <c r="D790" s="95"/>
      <c r="E790" s="141" t="s">
        <v>910</v>
      </c>
      <c r="F790" s="94" t="s">
        <v>768</v>
      </c>
      <c r="G790" s="505">
        <f>TRUNC(1.05*2,4)</f>
        <v>2.1</v>
      </c>
      <c r="H790" s="463" t="str">
        <f t="shared" si="944"/>
        <v>석고보드THK=9.5*3'*6'㎡</v>
      </c>
      <c r="I790" s="451" t="str">
        <f>CONCATENATE(C790,E790,F790)</f>
        <v>석고보드THK=9.5*3'*6'㎡</v>
      </c>
      <c r="J790" s="506">
        <f>IF(OR($F790="인",$F790=""),"",VLOOKUP($H790,단가!$A:$S,19,FALSE))</f>
        <v>2407</v>
      </c>
      <c r="K790" s="507">
        <f t="shared" ref="K790:K795" si="955">IF(J790="","",TRUNC($G790*J790,0))</f>
        <v>5054</v>
      </c>
      <c r="L790" s="506" t="str">
        <f>IF($F790="인",VLOOKUP($C:$C,노임!$C:$G,4,FALSE),"")</f>
        <v/>
      </c>
      <c r="M790" s="507" t="str">
        <f>IF(L790="","",TRUNC($G790*L790,0))</f>
        <v/>
      </c>
      <c r="N790" s="507"/>
      <c r="O790" s="507" t="str">
        <f>IF(N790="","",TRUNC($G790*N790,0))</f>
        <v/>
      </c>
      <c r="P790" s="508"/>
      <c r="Q790" s="509" t="str">
        <f>IF(F790="인","노임"&amp;VLOOKUP($C:$C,노임!C:G,5,FALSE)&amp;"번","단가"&amp;VLOOKUP($H:$H,단가!$A:$B,2,FALSE)&amp;"번")</f>
        <v>단가54번</v>
      </c>
      <c r="R790" s="510"/>
      <c r="S790" s="131"/>
      <c r="T790" s="470" t="str">
        <f t="shared" si="945"/>
        <v>단가54번</v>
      </c>
      <c r="V790" s="548"/>
      <c r="W790" s="471">
        <f t="shared" ref="W790:X790" si="956">W789</f>
        <v>31</v>
      </c>
      <c r="X790" s="471" t="e">
        <f t="shared" si="956"/>
        <v>#REF!</v>
      </c>
      <c r="Y790" s="471" t="e">
        <f t="shared" si="947"/>
        <v>#REF!</v>
      </c>
      <c r="Z790" s="471"/>
      <c r="AA790" s="471"/>
    </row>
    <row r="791" spans="1:40" s="457" customFormat="1" ht="15.75" customHeight="1" x14ac:dyDescent="0.15">
      <c r="A791" s="547"/>
      <c r="B791" s="95"/>
      <c r="C791" s="140" t="s">
        <v>572</v>
      </c>
      <c r="D791" s="95"/>
      <c r="E791" s="206" t="s">
        <v>836</v>
      </c>
      <c r="F791" s="94" t="s">
        <v>1017</v>
      </c>
      <c r="G791" s="505">
        <v>1</v>
      </c>
      <c r="H791" s="463" t="str">
        <f t="shared" si="944"/>
        <v>잡재료 및 소모재료주재료비의 3%식</v>
      </c>
      <c r="I791" s="451" t="str">
        <f>CONCATENATE(C791,E791,F791)</f>
        <v>잡재료 및 소모재료주재료비의 3%식</v>
      </c>
      <c r="J791" s="506">
        <f>TRUNC((K790)*3%,0)</f>
        <v>151</v>
      </c>
      <c r="K791" s="507">
        <f t="shared" si="955"/>
        <v>151</v>
      </c>
      <c r="L791" s="506" t="str">
        <f>IF($F791="인",VLOOKUP($C:$C,노임!$C:$G,4,FALSE),"")</f>
        <v/>
      </c>
      <c r="M791" s="507" t="str">
        <f>IF(L791="","",TRUNC($G791*L791,0))</f>
        <v/>
      </c>
      <c r="N791" s="507"/>
      <c r="O791" s="507" t="str">
        <f>IF(N791="","",TRUNC($G791*N791,0))</f>
        <v/>
      </c>
      <c r="P791" s="508"/>
      <c r="Q791" s="509"/>
      <c r="R791" s="510"/>
      <c r="S791" s="131"/>
      <c r="T791" s="470" t="str">
        <f t="shared" si="945"/>
        <v/>
      </c>
      <c r="V791" s="548"/>
      <c r="W791" s="471">
        <f t="shared" ref="W791:X791" si="957">W790</f>
        <v>31</v>
      </c>
      <c r="X791" s="471" t="e">
        <f t="shared" si="957"/>
        <v>#REF!</v>
      </c>
      <c r="Y791" s="471" t="e">
        <f t="shared" si="947"/>
        <v>#REF!</v>
      </c>
      <c r="Z791" s="471"/>
      <c r="AA791" s="471"/>
    </row>
    <row r="792" spans="1:40" s="457" customFormat="1" ht="15.75" customHeight="1" x14ac:dyDescent="0.15">
      <c r="A792" s="470"/>
      <c r="B792" s="95"/>
      <c r="C792" s="140" t="s">
        <v>824</v>
      </c>
      <c r="D792" s="95"/>
      <c r="E792" s="141" t="s">
        <v>897</v>
      </c>
      <c r="F792" s="94" t="s">
        <v>800</v>
      </c>
      <c r="G792" s="505">
        <v>0.27</v>
      </c>
      <c r="H792" s="463" t="str">
        <f t="shared" si="944"/>
        <v>접착제오공 205Kg</v>
      </c>
      <c r="I792" s="451" t="str">
        <f>CONCATENATE(C792,E792,F792)</f>
        <v>접착제오공 205Kg</v>
      </c>
      <c r="J792" s="506">
        <f>IF(OR($F792="인",$F792=""),"",VLOOKUP($H792,단가!$A:$S,19,FALSE))</f>
        <v>1200</v>
      </c>
      <c r="K792" s="507">
        <f t="shared" si="955"/>
        <v>324</v>
      </c>
      <c r="L792" s="506" t="str">
        <f>IF($F792="인",VLOOKUP($C:$C,노임!$C:$G,4,FALSE),"")</f>
        <v/>
      </c>
      <c r="M792" s="507" t="str">
        <f>IF(L792="","",TRUNC($G792*L792,0))</f>
        <v/>
      </c>
      <c r="N792" s="507"/>
      <c r="O792" s="507" t="str">
        <f>IF(N792="","",TRUNC($G792*N792,0))</f>
        <v/>
      </c>
      <c r="P792" s="508"/>
      <c r="Q792" s="509" t="str">
        <f>IF(F792="인","노임"&amp;VLOOKUP($C:$C,노임!C:G,5,FALSE)&amp;"번","단가"&amp;VLOOKUP($H:$H,단가!$A:$B,2,FALSE)&amp;"번")</f>
        <v>단가8번</v>
      </c>
      <c r="R792" s="510"/>
      <c r="S792" s="131"/>
      <c r="T792" s="470" t="str">
        <f t="shared" si="945"/>
        <v>단가8번</v>
      </c>
      <c r="V792" s="549"/>
      <c r="W792" s="471">
        <f t="shared" ref="W792:X792" si="958">W791</f>
        <v>31</v>
      </c>
      <c r="X792" s="471" t="e">
        <f t="shared" si="958"/>
        <v>#REF!</v>
      </c>
      <c r="Y792" s="471" t="e">
        <f t="shared" si="947"/>
        <v>#REF!</v>
      </c>
      <c r="Z792" s="471"/>
      <c r="AA792" s="471"/>
    </row>
    <row r="793" spans="1:40" s="457" customFormat="1" ht="15.75" customHeight="1" x14ac:dyDescent="0.15">
      <c r="A793" s="470"/>
      <c r="B793" s="95"/>
      <c r="C793" s="140" t="s">
        <v>911</v>
      </c>
      <c r="D793" s="95"/>
      <c r="E793" s="141"/>
      <c r="F793" s="94" t="s">
        <v>756</v>
      </c>
      <c r="G793" s="505">
        <f>TRUNC(0.066*130%,4)</f>
        <v>8.5800000000000001E-2</v>
      </c>
      <c r="H793" s="463" t="str">
        <f t="shared" si="944"/>
        <v>내장공인</v>
      </c>
      <c r="I793" s="451" t="str">
        <f>CONCATENATE(C793,E793,F793)</f>
        <v>내장공인</v>
      </c>
      <c r="J793" s="506" t="str">
        <f>IF(OR($F793="인",$F793=""),"",VLOOKUP($H793,단가!$A:$S,19,FALSE))</f>
        <v/>
      </c>
      <c r="K793" s="507" t="str">
        <f t="shared" si="955"/>
        <v/>
      </c>
      <c r="L793" s="506">
        <f>IF($F793="인",VLOOKUP($C:$C,노임!$C:$G,4,FALSE),"")</f>
        <v>160195</v>
      </c>
      <c r="M793" s="507">
        <f>IF(L793="","",TRUNC($G793*L793,0))</f>
        <v>13744</v>
      </c>
      <c r="N793" s="507"/>
      <c r="O793" s="507" t="str">
        <f>IF(N793="","",TRUNC($G793*N793,0))</f>
        <v/>
      </c>
      <c r="P793" s="508"/>
      <c r="Q793" s="509" t="str">
        <f>IF(F793="인","노임"&amp;VLOOKUP($C:$C,노임!C:G,5,FALSE)&amp;"번","단가"&amp;VLOOKUP($H:$H,단가!$A:$B,2,FALSE)&amp;"번")</f>
        <v>노임1030번</v>
      </c>
      <c r="R793" s="510"/>
      <c r="S793" s="131"/>
      <c r="T793" s="470" t="str">
        <f t="shared" si="945"/>
        <v>노임1030번</v>
      </c>
      <c r="U793" s="470"/>
      <c r="V793" s="549"/>
      <c r="W793" s="471">
        <f t="shared" ref="W793:X793" si="959">W792</f>
        <v>31</v>
      </c>
      <c r="X793" s="471" t="e">
        <f t="shared" si="959"/>
        <v>#REF!</v>
      </c>
      <c r="Y793" s="471" t="e">
        <f t="shared" si="947"/>
        <v>#REF!</v>
      </c>
      <c r="Z793" s="471"/>
      <c r="AA793" s="471"/>
      <c r="AF793" s="470"/>
      <c r="AG793" s="470"/>
      <c r="AH793" s="470"/>
      <c r="AI793" s="470"/>
      <c r="AJ793" s="470"/>
      <c r="AK793" s="470"/>
      <c r="AL793" s="470"/>
      <c r="AM793" s="470"/>
      <c r="AN793" s="470"/>
    </row>
    <row r="794" spans="1:40" s="470" customFormat="1" ht="15.75" customHeight="1" x14ac:dyDescent="0.15">
      <c r="B794" s="95"/>
      <c r="C794" s="140" t="s">
        <v>772</v>
      </c>
      <c r="D794" s="95"/>
      <c r="E794" s="141"/>
      <c r="F794" s="94" t="s">
        <v>756</v>
      </c>
      <c r="G794" s="505">
        <f>TRUNC(0.032*130%,4)</f>
        <v>4.1599999999999998E-2</v>
      </c>
      <c r="H794" s="463" t="str">
        <f t="shared" si="944"/>
        <v>보통인부인</v>
      </c>
      <c r="I794" s="451" t="str">
        <f>CONCATENATE(C794,E794,F794)</f>
        <v>보통인부인</v>
      </c>
      <c r="J794" s="506" t="str">
        <f>IF(OR($F794="인",$F794=""),"",VLOOKUP($H794,단가!$A:$S,19,FALSE))</f>
        <v/>
      </c>
      <c r="K794" s="507" t="str">
        <f t="shared" si="955"/>
        <v/>
      </c>
      <c r="L794" s="506">
        <f>IF($F794="인",VLOOKUP($C:$C,노임!$C:$G,4,FALSE),"")</f>
        <v>106846</v>
      </c>
      <c r="M794" s="507">
        <f>IF(L794="","",TRUNC($G794*L794,0))</f>
        <v>4444</v>
      </c>
      <c r="N794" s="507"/>
      <c r="O794" s="507" t="str">
        <f>IF(N794="","",TRUNC($G794*N794,0))</f>
        <v/>
      </c>
      <c r="P794" s="508"/>
      <c r="Q794" s="509" t="str">
        <f>IF(F794="인","노임"&amp;VLOOKUP($C:$C,노임!C:G,5,FALSE)&amp;"번","단가"&amp;VLOOKUP($H:$H,단가!$A:$B,2,FALSE)&amp;"번")</f>
        <v>노임1002번</v>
      </c>
      <c r="R794" s="510"/>
      <c r="S794" s="131"/>
      <c r="T794" s="470" t="str">
        <f t="shared" si="945"/>
        <v>노임1002번</v>
      </c>
      <c r="V794" s="549"/>
      <c r="W794" s="471">
        <f t="shared" ref="W794:X794" si="960">W793</f>
        <v>31</v>
      </c>
      <c r="X794" s="471" t="e">
        <f t="shared" si="960"/>
        <v>#REF!</v>
      </c>
      <c r="Y794" s="471" t="e">
        <f t="shared" si="947"/>
        <v>#REF!</v>
      </c>
      <c r="Z794" s="471"/>
      <c r="AA794" s="471"/>
    </row>
    <row r="795" spans="1:40" s="470" customFormat="1" ht="15.75" customHeight="1" x14ac:dyDescent="0.15">
      <c r="B795" s="95"/>
      <c r="C795" s="140" t="s">
        <v>815</v>
      </c>
      <c r="D795" s="95"/>
      <c r="E795" s="141" t="s">
        <v>950</v>
      </c>
      <c r="F795" s="94" t="s">
        <v>777</v>
      </c>
      <c r="G795" s="505">
        <v>1</v>
      </c>
      <c r="H795" s="463" t="str">
        <f t="shared" si="944"/>
        <v>공구손료인력품의 1%식</v>
      </c>
      <c r="I795" s="451"/>
      <c r="J795" s="506">
        <f>TRUNC((M793+M794)*1%,0)</f>
        <v>181</v>
      </c>
      <c r="K795" s="507">
        <f t="shared" si="955"/>
        <v>181</v>
      </c>
      <c r="L795" s="506"/>
      <c r="M795" s="507"/>
      <c r="N795" s="507"/>
      <c r="O795" s="507"/>
      <c r="P795" s="508"/>
      <c r="Q795" s="512"/>
      <c r="R795" s="534"/>
      <c r="S795" s="131"/>
      <c r="T795" s="470" t="str">
        <f t="shared" si="945"/>
        <v/>
      </c>
      <c r="V795" s="549"/>
      <c r="W795" s="471">
        <f t="shared" ref="W795:X795" si="961">W794</f>
        <v>31</v>
      </c>
      <c r="X795" s="471" t="e">
        <f t="shared" si="961"/>
        <v>#REF!</v>
      </c>
      <c r="Y795" s="471" t="e">
        <f t="shared" si="947"/>
        <v>#REF!</v>
      </c>
      <c r="Z795" s="471"/>
      <c r="AA795" s="471"/>
    </row>
    <row r="796" spans="1:40" s="470" customFormat="1" ht="15.75" customHeight="1" x14ac:dyDescent="0.15">
      <c r="B796" s="95"/>
      <c r="C796" s="140"/>
      <c r="D796" s="95"/>
      <c r="E796" s="141"/>
      <c r="F796" s="94"/>
      <c r="G796" s="505"/>
      <c r="H796" s="463" t="str">
        <f t="shared" si="944"/>
        <v/>
      </c>
      <c r="I796" s="451"/>
      <c r="J796" s="506"/>
      <c r="K796" s="507"/>
      <c r="L796" s="506"/>
      <c r="M796" s="507"/>
      <c r="N796" s="507"/>
      <c r="O796" s="507"/>
      <c r="P796" s="508"/>
      <c r="Q796" s="512"/>
      <c r="R796" s="513"/>
      <c r="S796" s="131"/>
      <c r="T796" s="470" t="str">
        <f t="shared" si="945"/>
        <v/>
      </c>
      <c r="U796" s="167"/>
      <c r="V796" s="549"/>
      <c r="W796" s="471">
        <f t="shared" ref="W796:X796" si="962">W795</f>
        <v>31</v>
      </c>
      <c r="X796" s="471" t="e">
        <f t="shared" si="962"/>
        <v>#REF!</v>
      </c>
      <c r="Y796" s="471" t="e">
        <f t="shared" si="947"/>
        <v>#REF!</v>
      </c>
      <c r="Z796" s="471"/>
      <c r="AA796" s="471"/>
      <c r="AF796" s="435"/>
      <c r="AG796" s="435"/>
      <c r="AH796" s="435"/>
      <c r="AI796" s="435"/>
      <c r="AJ796" s="435"/>
      <c r="AK796" s="435"/>
      <c r="AL796" s="435"/>
      <c r="AM796" s="435"/>
      <c r="AN796" s="435"/>
    </row>
    <row r="797" spans="1:40" s="470" customFormat="1" ht="15.75" customHeight="1" x14ac:dyDescent="0.15">
      <c r="B797" s="95"/>
      <c r="C797" s="140"/>
      <c r="D797" s="95"/>
      <c r="E797" s="141"/>
      <c r="F797" s="94"/>
      <c r="G797" s="505"/>
      <c r="H797" s="463" t="str">
        <f t="shared" ref="H797:H807" si="963">CONCATENATE(C797,E797,F797)</f>
        <v/>
      </c>
      <c r="I797" s="451"/>
      <c r="J797" s="506"/>
      <c r="K797" s="507"/>
      <c r="L797" s="506"/>
      <c r="M797" s="507"/>
      <c r="N797" s="507"/>
      <c r="O797" s="507"/>
      <c r="P797" s="508"/>
      <c r="Q797" s="512"/>
      <c r="R797" s="513"/>
      <c r="S797" s="131"/>
      <c r="T797" s="470" t="str">
        <f t="shared" si="945"/>
        <v/>
      </c>
      <c r="U797" s="167"/>
      <c r="V797" s="549"/>
      <c r="W797" s="471">
        <f t="shared" ref="W797:X797" si="964">W796</f>
        <v>31</v>
      </c>
      <c r="X797" s="471" t="e">
        <f t="shared" si="964"/>
        <v>#REF!</v>
      </c>
      <c r="Y797" s="471" t="e">
        <f t="shared" si="947"/>
        <v>#REF!</v>
      </c>
      <c r="Z797" s="471"/>
      <c r="AA797" s="471"/>
      <c r="AF797" s="435"/>
      <c r="AG797" s="435"/>
      <c r="AH797" s="435"/>
      <c r="AI797" s="435"/>
      <c r="AJ797" s="435"/>
      <c r="AK797" s="435"/>
      <c r="AL797" s="435"/>
      <c r="AM797" s="435"/>
      <c r="AN797" s="435"/>
    </row>
    <row r="798" spans="1:40" ht="15.75" customHeight="1" x14ac:dyDescent="0.15">
      <c r="B798" s="95"/>
      <c r="C798" s="140"/>
      <c r="D798" s="95"/>
      <c r="E798" s="141"/>
      <c r="F798" s="94"/>
      <c r="G798" s="505"/>
      <c r="H798" s="463" t="str">
        <f t="shared" si="963"/>
        <v/>
      </c>
      <c r="I798" s="451"/>
      <c r="J798" s="506"/>
      <c r="K798" s="507"/>
      <c r="L798" s="506"/>
      <c r="M798" s="507"/>
      <c r="N798" s="507"/>
      <c r="O798" s="507"/>
      <c r="P798" s="508"/>
      <c r="Q798" s="512"/>
      <c r="R798" s="513"/>
      <c r="S798" s="131"/>
      <c r="T798" s="470" t="str">
        <f t="shared" si="945"/>
        <v/>
      </c>
      <c r="U798" s="470"/>
      <c r="V798" s="549"/>
      <c r="W798" s="471">
        <f t="shared" ref="W798:X798" si="965">W797</f>
        <v>31</v>
      </c>
      <c r="X798" s="471" t="e">
        <f t="shared" si="965"/>
        <v>#REF!</v>
      </c>
      <c r="Y798" s="471" t="e">
        <f t="shared" si="947"/>
        <v>#REF!</v>
      </c>
      <c r="Z798" s="471"/>
      <c r="AA798" s="471"/>
      <c r="AB798" s="470"/>
      <c r="AC798" s="470"/>
      <c r="AD798" s="470"/>
      <c r="AE798" s="470"/>
      <c r="AF798" s="470"/>
      <c r="AG798" s="470"/>
      <c r="AH798" s="470"/>
      <c r="AI798" s="470"/>
      <c r="AJ798" s="470"/>
      <c r="AK798" s="470"/>
      <c r="AL798" s="470"/>
      <c r="AM798" s="470"/>
      <c r="AN798" s="470"/>
    </row>
    <row r="799" spans="1:40" s="470" customFormat="1" ht="15.75" customHeight="1" x14ac:dyDescent="0.15">
      <c r="B799" s="95"/>
      <c r="C799" s="140"/>
      <c r="D799" s="95"/>
      <c r="E799" s="141"/>
      <c r="F799" s="94"/>
      <c r="G799" s="505"/>
      <c r="H799" s="463" t="str">
        <f t="shared" si="963"/>
        <v/>
      </c>
      <c r="I799" s="451"/>
      <c r="J799" s="506"/>
      <c r="K799" s="507"/>
      <c r="L799" s="506"/>
      <c r="M799" s="507"/>
      <c r="N799" s="507"/>
      <c r="O799" s="507"/>
      <c r="P799" s="508"/>
      <c r="Q799" s="512"/>
      <c r="R799" s="513"/>
      <c r="S799" s="131"/>
      <c r="T799" s="470" t="str">
        <f t="shared" si="945"/>
        <v/>
      </c>
      <c r="V799" s="549"/>
      <c r="W799" s="471">
        <f t="shared" ref="W799:X799" si="966">W798</f>
        <v>31</v>
      </c>
      <c r="X799" s="471" t="e">
        <f t="shared" si="966"/>
        <v>#REF!</v>
      </c>
      <c r="Y799" s="471" t="e">
        <f t="shared" si="947"/>
        <v>#REF!</v>
      </c>
      <c r="Z799" s="471"/>
      <c r="AA799" s="471"/>
    </row>
    <row r="800" spans="1:40" s="470" customFormat="1" ht="15.75" customHeight="1" x14ac:dyDescent="0.15">
      <c r="B800" s="95"/>
      <c r="C800" s="140"/>
      <c r="D800" s="95"/>
      <c r="E800" s="141"/>
      <c r="F800" s="94"/>
      <c r="G800" s="505"/>
      <c r="H800" s="463" t="str">
        <f t="shared" si="963"/>
        <v/>
      </c>
      <c r="I800" s="451"/>
      <c r="J800" s="506"/>
      <c r="K800" s="507"/>
      <c r="L800" s="506"/>
      <c r="M800" s="507"/>
      <c r="N800" s="507"/>
      <c r="O800" s="507"/>
      <c r="P800" s="508"/>
      <c r="Q800" s="512"/>
      <c r="R800" s="513"/>
      <c r="S800" s="131"/>
      <c r="T800" s="470" t="str">
        <f t="shared" si="945"/>
        <v/>
      </c>
      <c r="V800" s="549"/>
      <c r="W800" s="471">
        <f t="shared" ref="W800:X800" si="967">W799</f>
        <v>31</v>
      </c>
      <c r="X800" s="471" t="e">
        <f t="shared" si="967"/>
        <v>#REF!</v>
      </c>
      <c r="Y800" s="471" t="e">
        <f t="shared" si="947"/>
        <v>#REF!</v>
      </c>
      <c r="Z800" s="471"/>
      <c r="AA800" s="471"/>
    </row>
    <row r="801" spans="1:40" s="470" customFormat="1" ht="15.75" customHeight="1" x14ac:dyDescent="0.15">
      <c r="B801" s="95"/>
      <c r="C801" s="140"/>
      <c r="D801" s="95"/>
      <c r="E801" s="141"/>
      <c r="F801" s="94"/>
      <c r="G801" s="505"/>
      <c r="H801" s="463" t="str">
        <f t="shared" si="963"/>
        <v/>
      </c>
      <c r="I801" s="451"/>
      <c r="J801" s="506"/>
      <c r="K801" s="507"/>
      <c r="L801" s="506"/>
      <c r="M801" s="507"/>
      <c r="N801" s="507"/>
      <c r="O801" s="507"/>
      <c r="P801" s="508"/>
      <c r="Q801" s="512"/>
      <c r="R801" s="513"/>
      <c r="S801" s="131"/>
      <c r="T801" s="470" t="str">
        <f t="shared" si="945"/>
        <v/>
      </c>
      <c r="V801" s="549"/>
      <c r="W801" s="471">
        <f t="shared" ref="W801:X801" si="968">W800</f>
        <v>31</v>
      </c>
      <c r="X801" s="471" t="e">
        <f t="shared" si="968"/>
        <v>#REF!</v>
      </c>
      <c r="Y801" s="471" t="e">
        <f t="shared" si="947"/>
        <v>#REF!</v>
      </c>
      <c r="Z801" s="471"/>
      <c r="AA801" s="471"/>
    </row>
    <row r="802" spans="1:40" s="470" customFormat="1" ht="15.75" customHeight="1" x14ac:dyDescent="0.15">
      <c r="B802" s="95"/>
      <c r="C802" s="140"/>
      <c r="D802" s="95"/>
      <c r="E802" s="141"/>
      <c r="F802" s="94"/>
      <c r="G802" s="505"/>
      <c r="H802" s="463" t="str">
        <f t="shared" si="963"/>
        <v/>
      </c>
      <c r="I802" s="451"/>
      <c r="J802" s="506"/>
      <c r="K802" s="507"/>
      <c r="L802" s="506"/>
      <c r="M802" s="507"/>
      <c r="N802" s="507"/>
      <c r="O802" s="507"/>
      <c r="P802" s="508"/>
      <c r="Q802" s="512"/>
      <c r="R802" s="513"/>
      <c r="S802" s="131"/>
      <c r="T802" s="470" t="str">
        <f t="shared" si="945"/>
        <v/>
      </c>
      <c r="V802" s="549"/>
      <c r="W802" s="471">
        <f t="shared" ref="W802:X802" si="969">W801</f>
        <v>31</v>
      </c>
      <c r="X802" s="471" t="e">
        <f t="shared" si="969"/>
        <v>#REF!</v>
      </c>
      <c r="Y802" s="471" t="e">
        <f t="shared" si="947"/>
        <v>#REF!</v>
      </c>
      <c r="Z802" s="471"/>
      <c r="AA802" s="471"/>
    </row>
    <row r="803" spans="1:40" s="470" customFormat="1" ht="15.75" customHeight="1" x14ac:dyDescent="0.15">
      <c r="B803" s="453"/>
      <c r="C803" s="209"/>
      <c r="D803" s="95"/>
      <c r="E803" s="141"/>
      <c r="F803" s="94"/>
      <c r="G803" s="505"/>
      <c r="H803" s="463" t="str">
        <f t="shared" si="963"/>
        <v/>
      </c>
      <c r="I803" s="451"/>
      <c r="J803" s="506"/>
      <c r="K803" s="507"/>
      <c r="L803" s="506"/>
      <c r="M803" s="507"/>
      <c r="N803" s="507"/>
      <c r="O803" s="507"/>
      <c r="P803" s="508"/>
      <c r="Q803" s="512"/>
      <c r="R803" s="513"/>
      <c r="S803" s="131"/>
      <c r="T803" s="470" t="str">
        <f t="shared" si="945"/>
        <v/>
      </c>
      <c r="V803" s="549"/>
      <c r="W803" s="471">
        <f t="shared" ref="W803:X803" si="970">W802</f>
        <v>31</v>
      </c>
      <c r="X803" s="471" t="e">
        <f t="shared" si="970"/>
        <v>#REF!</v>
      </c>
      <c r="Y803" s="471" t="e">
        <f t="shared" si="947"/>
        <v>#REF!</v>
      </c>
      <c r="Z803" s="471"/>
      <c r="AA803" s="471"/>
    </row>
    <row r="804" spans="1:40" s="470" customFormat="1" ht="15.75" customHeight="1" x14ac:dyDescent="0.15">
      <c r="B804" s="514" t="s">
        <v>751</v>
      </c>
      <c r="C804" s="515"/>
      <c r="D804" s="516"/>
      <c r="E804" s="517"/>
      <c r="F804" s="518"/>
      <c r="G804" s="519"/>
      <c r="H804" s="463" t="str">
        <f>CONCATENATE(C804,E804,F804)</f>
        <v/>
      </c>
      <c r="I804" s="520">
        <f>목록!$B$37</f>
        <v>31</v>
      </c>
      <c r="J804" s="521"/>
      <c r="K804" s="522">
        <f>SUM(K790:K803)</f>
        <v>5710</v>
      </c>
      <c r="L804" s="521"/>
      <c r="M804" s="522">
        <f>SUM(M790:M803)</f>
        <v>18188</v>
      </c>
      <c r="N804" s="521"/>
      <c r="O804" s="522">
        <f>SUM(O790:O803)</f>
        <v>0</v>
      </c>
      <c r="P804" s="523"/>
      <c r="Q804" s="512"/>
      <c r="R804" s="513"/>
      <c r="S804" s="524"/>
      <c r="T804" s="470" t="str">
        <f t="shared" si="945"/>
        <v/>
      </c>
      <c r="V804" s="549"/>
      <c r="W804" s="471">
        <f t="shared" ref="W804:X804" si="971">W803</f>
        <v>31</v>
      </c>
      <c r="X804" s="471" t="e">
        <f t="shared" si="971"/>
        <v>#REF!</v>
      </c>
      <c r="Y804" s="471" t="e">
        <f t="shared" si="947"/>
        <v>#REF!</v>
      </c>
      <c r="Z804" s="471"/>
      <c r="AA804" s="471"/>
    </row>
    <row r="805" spans="1:40" s="470" customFormat="1" ht="15.75" customHeight="1" x14ac:dyDescent="0.15">
      <c r="A805" s="457"/>
      <c r="B805" s="453"/>
      <c r="C805" s="209" t="s">
        <v>1032</v>
      </c>
      <c r="D805" s="95"/>
      <c r="E805" s="141"/>
      <c r="F805" s="94"/>
      <c r="G805" s="505"/>
      <c r="H805" s="463" t="str">
        <f t="shared" si="963"/>
        <v>※ 건축표준품셈 : 11-3-1 판붙임 2. 석고판 가. 나사고정(천정품셈적용)</v>
      </c>
      <c r="I805" s="451"/>
      <c r="J805" s="506"/>
      <c r="K805" s="507"/>
      <c r="L805" s="506"/>
      <c r="M805" s="507"/>
      <c r="N805" s="507"/>
      <c r="O805" s="507"/>
      <c r="P805" s="508"/>
      <c r="Q805" s="512"/>
      <c r="R805" s="513"/>
      <c r="S805" s="131"/>
      <c r="T805" s="470" t="str">
        <f t="shared" si="945"/>
        <v/>
      </c>
      <c r="U805" s="457"/>
      <c r="V805" s="549"/>
      <c r="W805" s="615">
        <f t="shared" ref="W805:X805" si="972">W804</f>
        <v>31</v>
      </c>
      <c r="X805" s="471" t="e">
        <f t="shared" si="972"/>
        <v>#REF!</v>
      </c>
      <c r="Y805" s="471" t="e">
        <f t="shared" si="947"/>
        <v>#REF!</v>
      </c>
      <c r="Z805" s="471"/>
      <c r="AA805" s="471"/>
      <c r="AF805" s="457"/>
      <c r="AG805" s="457"/>
      <c r="AH805" s="457"/>
      <c r="AI805" s="457"/>
      <c r="AJ805" s="457"/>
      <c r="AK805" s="457"/>
      <c r="AL805" s="457"/>
      <c r="AM805" s="457"/>
      <c r="AN805" s="457"/>
    </row>
    <row r="806" spans="1:40" s="457" customFormat="1" ht="15.75" customHeight="1" x14ac:dyDescent="0.15">
      <c r="A806" s="470"/>
      <c r="B806" s="514"/>
      <c r="C806" s="515"/>
      <c r="D806" s="516"/>
      <c r="E806" s="517"/>
      <c r="F806" s="518"/>
      <c r="G806" s="519"/>
      <c r="H806" s="463" t="str">
        <f t="shared" si="963"/>
        <v/>
      </c>
      <c r="I806" s="520"/>
      <c r="J806" s="521"/>
      <c r="K806" s="522"/>
      <c r="L806" s="521"/>
      <c r="M806" s="522"/>
      <c r="N806" s="521"/>
      <c r="O806" s="522"/>
      <c r="P806" s="523"/>
      <c r="Q806" s="512"/>
      <c r="R806" s="513"/>
      <c r="S806" s="524"/>
      <c r="T806" s="470" t="str">
        <f t="shared" si="945"/>
        <v/>
      </c>
      <c r="U806" s="470"/>
      <c r="V806" s="551"/>
      <c r="W806" s="471">
        <f t="shared" ref="W806:X806" si="973">W805</f>
        <v>31</v>
      </c>
      <c r="X806" s="471" t="e">
        <f t="shared" si="973"/>
        <v>#REF!</v>
      </c>
      <c r="Y806" s="471" t="e">
        <f t="shared" si="947"/>
        <v>#REF!</v>
      </c>
      <c r="Z806" s="471"/>
      <c r="AA806" s="471"/>
      <c r="AB806" s="470"/>
      <c r="AC806" s="470"/>
      <c r="AD806" s="470"/>
      <c r="AE806" s="470"/>
      <c r="AF806" s="470"/>
      <c r="AG806" s="470"/>
      <c r="AH806" s="470"/>
      <c r="AI806" s="470"/>
      <c r="AJ806" s="470"/>
      <c r="AK806" s="470"/>
      <c r="AL806" s="470"/>
      <c r="AM806" s="470"/>
      <c r="AN806" s="470"/>
    </row>
    <row r="807" spans="1:40" s="470" customFormat="1" ht="15.75" customHeight="1" x14ac:dyDescent="0.15">
      <c r="B807" s="514"/>
      <c r="C807" s="515"/>
      <c r="D807" s="516"/>
      <c r="E807" s="517"/>
      <c r="F807" s="518"/>
      <c r="G807" s="519"/>
      <c r="H807" s="463" t="str">
        <f t="shared" si="963"/>
        <v/>
      </c>
      <c r="I807" s="520"/>
      <c r="J807" s="521"/>
      <c r="K807" s="522"/>
      <c r="L807" s="521"/>
      <c r="M807" s="522"/>
      <c r="N807" s="521"/>
      <c r="O807" s="522"/>
      <c r="P807" s="523"/>
      <c r="Q807" s="512"/>
      <c r="R807" s="513"/>
      <c r="S807" s="524"/>
      <c r="T807" s="470" t="str">
        <f t="shared" si="945"/>
        <v/>
      </c>
      <c r="W807" s="471">
        <f t="shared" ref="W807:X807" si="974">W806</f>
        <v>31</v>
      </c>
      <c r="X807" s="471" t="e">
        <f t="shared" si="974"/>
        <v>#REF!</v>
      </c>
      <c r="Y807" s="471" t="e">
        <f t="shared" si="947"/>
        <v>#REF!</v>
      </c>
      <c r="Z807" s="471"/>
      <c r="AA807" s="471"/>
      <c r="AB807" s="457"/>
      <c r="AC807" s="457"/>
      <c r="AD807" s="457"/>
      <c r="AE807" s="457"/>
    </row>
    <row r="808" spans="1:40" s="457" customFormat="1" ht="15.75" customHeight="1" x14ac:dyDescent="0.15">
      <c r="A808" s="470"/>
      <c r="C808" s="458"/>
      <c r="D808" s="459"/>
      <c r="E808" s="460"/>
      <c r="F808" s="461"/>
      <c r="G808" s="462"/>
      <c r="H808" s="463" t="str">
        <f t="shared" ref="H808:H854" si="975">CONCATENATE(C808,E808,F808)</f>
        <v/>
      </c>
      <c r="I808" s="464"/>
      <c r="J808" s="465"/>
      <c r="K808" s="465"/>
      <c r="L808" s="465"/>
      <c r="M808" s="465"/>
      <c r="N808" s="465"/>
      <c r="O808" s="466"/>
      <c r="P808" s="467"/>
      <c r="Q808" s="468"/>
      <c r="R808" s="469"/>
      <c r="S808" s="467"/>
      <c r="T808" s="470" t="str">
        <f>CONCATENATE(Q808,R808)</f>
        <v/>
      </c>
      <c r="U808" s="470"/>
      <c r="V808" s="470"/>
      <c r="W808" s="533">
        <f t="shared" ref="W808" si="976">I830</f>
        <v>32</v>
      </c>
      <c r="X808" s="533" t="e">
        <f>#REF!+1</f>
        <v>#REF!</v>
      </c>
      <c r="Y808" s="533" t="e">
        <f t="shared" ref="Y808:Y826" si="977">X808-W808</f>
        <v>#REF!</v>
      </c>
      <c r="Z808" s="533"/>
      <c r="AA808" s="533"/>
      <c r="AB808" s="470"/>
      <c r="AC808" s="470"/>
      <c r="AD808" s="470"/>
      <c r="AE808" s="470"/>
      <c r="AF808" s="470"/>
      <c r="AG808" s="470"/>
      <c r="AH808" s="470"/>
      <c r="AI808" s="470"/>
      <c r="AJ808" s="470"/>
      <c r="AK808" s="470"/>
      <c r="AL808" s="470"/>
      <c r="AM808" s="470"/>
      <c r="AN808" s="470"/>
    </row>
    <row r="809" spans="1:40" s="470" customFormat="1" ht="15.75" customHeight="1" x14ac:dyDescent="0.15">
      <c r="A809" s="457"/>
      <c r="B809" s="473"/>
      <c r="C809" s="474" t="str">
        <f>"   항목번호 : "&amp;목록!L$38</f>
        <v xml:space="preserve">   항목번호 : 제32호표</v>
      </c>
      <c r="D809" s="475">
        <f>목록!B$38</f>
        <v>32</v>
      </c>
      <c r="E809" s="476"/>
      <c r="F809" s="477"/>
      <c r="G809" s="478"/>
      <c r="H809" s="463" t="str">
        <f t="shared" si="975"/>
        <v xml:space="preserve">   항목번호 : 제32호표</v>
      </c>
      <c r="I809" s="479"/>
      <c r="J809" s="480"/>
      <c r="K809" s="481"/>
      <c r="L809" s="482"/>
      <c r="M809" s="482"/>
      <c r="N809" s="482"/>
      <c r="O809" s="466"/>
      <c r="P809" s="483"/>
      <c r="Q809" s="484"/>
      <c r="R809" s="485"/>
      <c r="S809" s="483"/>
      <c r="T809" s="470" t="str">
        <f>CONCATENATE(Q809,R809)</f>
        <v/>
      </c>
      <c r="W809" s="471">
        <f t="shared" ref="W809:X809" si="978">W808</f>
        <v>32</v>
      </c>
      <c r="X809" s="471" t="e">
        <f t="shared" si="978"/>
        <v>#REF!</v>
      </c>
      <c r="Y809" s="471" t="e">
        <f t="shared" si="977"/>
        <v>#REF!</v>
      </c>
      <c r="Z809" s="471"/>
      <c r="AA809" s="471"/>
    </row>
    <row r="810" spans="1:40" s="470" customFormat="1" ht="15.75" customHeight="1" x14ac:dyDescent="0.15">
      <c r="A810" s="457"/>
      <c r="B810" s="473"/>
      <c r="C810" s="474" t="str">
        <f>"   공      종 : "&amp;목록!D$38</f>
        <v xml:space="preserve">   공      종 : 인조대리석 상판시공</v>
      </c>
      <c r="D810" s="484"/>
      <c r="E810" s="476"/>
      <c r="F810" s="473"/>
      <c r="G810" s="478"/>
      <c r="H810" s="463" t="str">
        <f t="shared" si="975"/>
        <v xml:space="preserve">   공      종 : 인조대리석 상판시공</v>
      </c>
      <c r="I810" s="479"/>
      <c r="J810" s="480"/>
      <c r="K810" s="481"/>
      <c r="L810" s="482"/>
      <c r="M810" s="482"/>
      <c r="N810" s="482"/>
      <c r="O810" s="466"/>
      <c r="P810" s="483"/>
      <c r="Q810" s="484"/>
      <c r="R810" s="485"/>
      <c r="S810" s="483"/>
      <c r="T810" s="470" t="str">
        <f>CONCATENATE(Q810,R810)</f>
        <v/>
      </c>
      <c r="U810" s="457"/>
      <c r="W810" s="471">
        <f t="shared" ref="W810:X810" si="979">W809</f>
        <v>32</v>
      </c>
      <c r="X810" s="471" t="e">
        <f t="shared" si="979"/>
        <v>#REF!</v>
      </c>
      <c r="Y810" s="471" t="e">
        <f t="shared" si="977"/>
        <v>#REF!</v>
      </c>
      <c r="Z810" s="471"/>
      <c r="AA810" s="471"/>
      <c r="AB810" s="457"/>
      <c r="AC810" s="457"/>
      <c r="AD810" s="457"/>
      <c r="AE810" s="457"/>
      <c r="AF810" s="457"/>
      <c r="AG810" s="457"/>
      <c r="AH810" s="457"/>
      <c r="AI810" s="457"/>
      <c r="AJ810" s="457"/>
      <c r="AK810" s="457"/>
      <c r="AL810" s="457"/>
      <c r="AM810" s="457"/>
      <c r="AN810" s="457"/>
    </row>
    <row r="811" spans="1:40" s="457" customFormat="1" ht="15.75" customHeight="1" x14ac:dyDescent="0.15">
      <c r="B811" s="473"/>
      <c r="C811" s="474" t="str">
        <f xml:space="preserve"> "   규      격 : "&amp;목록!F$38</f>
        <v xml:space="preserve">   규      격 : THK=12mm, 하이막스, 화이트칩</v>
      </c>
      <c r="D811" s="484"/>
      <c r="E811" s="476"/>
      <c r="F811" s="473"/>
      <c r="G811" s="478"/>
      <c r="H811" s="463" t="str">
        <f t="shared" si="975"/>
        <v xml:space="preserve">   규      격 : THK=12mm, 하이막스, 화이트칩</v>
      </c>
      <c r="I811" s="479"/>
      <c r="J811" s="480" t="s">
        <v>348</v>
      </c>
      <c r="K811" s="481"/>
      <c r="L811" s="482" t="s">
        <v>349</v>
      </c>
      <c r="M811" s="482"/>
      <c r="N811" s="482" t="s">
        <v>240</v>
      </c>
      <c r="O811" s="466"/>
      <c r="P811" s="483"/>
      <c r="Q811" s="484" t="s">
        <v>764</v>
      </c>
      <c r="R811" s="484"/>
      <c r="S811" s="483"/>
      <c r="T811" s="470" t="str">
        <f>CONCATENATE(Q811,R811)</f>
        <v>합계</v>
      </c>
      <c r="V811" s="547"/>
      <c r="W811" s="471">
        <f t="shared" ref="W811:X811" si="980">W810</f>
        <v>32</v>
      </c>
      <c r="X811" s="471" t="e">
        <f t="shared" si="980"/>
        <v>#REF!</v>
      </c>
      <c r="Y811" s="471" t="e">
        <f t="shared" si="977"/>
        <v>#REF!</v>
      </c>
      <c r="Z811" s="471"/>
      <c r="AA811" s="471"/>
    </row>
    <row r="812" spans="1:40" s="457" customFormat="1" ht="15.75" customHeight="1" x14ac:dyDescent="0.15">
      <c r="B812" s="473"/>
      <c r="C812" s="474" t="str">
        <f>"   단      위 : "&amp;목록!G$38</f>
        <v xml:space="preserve">   단      위 : ㎡</v>
      </c>
      <c r="D812" s="484"/>
      <c r="E812" s="476"/>
      <c r="F812" s="473"/>
      <c r="G812" s="478"/>
      <c r="H812" s="463" t="str">
        <f t="shared" si="975"/>
        <v xml:space="preserve">   단      위 : ㎡</v>
      </c>
      <c r="I812" s="479"/>
      <c r="J812" s="486">
        <f>K830</f>
        <v>169950</v>
      </c>
      <c r="K812" s="481"/>
      <c r="L812" s="487">
        <f>M830</f>
        <v>109000</v>
      </c>
      <c r="M812" s="482"/>
      <c r="N812" s="482">
        <f>O830</f>
        <v>0</v>
      </c>
      <c r="O812" s="466"/>
      <c r="P812" s="483"/>
      <c r="Q812" s="488">
        <f>J812+L812+N812</f>
        <v>278950</v>
      </c>
      <c r="R812" s="489"/>
      <c r="S812" s="483"/>
      <c r="T812" s="470" t="str">
        <f t="shared" ref="T812:T859" si="981">CONCATENATE(Q812,R812)</f>
        <v>278950</v>
      </c>
      <c r="V812" s="547"/>
      <c r="W812" s="471">
        <f t="shared" ref="W812:X812" si="982">W811</f>
        <v>32</v>
      </c>
      <c r="X812" s="471" t="e">
        <f t="shared" si="982"/>
        <v>#REF!</v>
      </c>
      <c r="Y812" s="471" t="e">
        <f t="shared" si="977"/>
        <v>#REF!</v>
      </c>
      <c r="Z812" s="471"/>
      <c r="AA812" s="471"/>
    </row>
    <row r="813" spans="1:40" s="457" customFormat="1" ht="15.75" customHeight="1" x14ac:dyDescent="0.15">
      <c r="B813" s="473"/>
      <c r="C813" s="474"/>
      <c r="D813" s="484"/>
      <c r="E813" s="476"/>
      <c r="F813" s="473"/>
      <c r="G813" s="490"/>
      <c r="H813" s="463" t="str">
        <f t="shared" si="975"/>
        <v/>
      </c>
      <c r="I813" s="491"/>
      <c r="J813" s="482"/>
      <c r="K813" s="465"/>
      <c r="L813" s="482"/>
      <c r="M813" s="482"/>
      <c r="N813" s="482"/>
      <c r="O813" s="466"/>
      <c r="P813" s="492"/>
      <c r="Q813" s="493"/>
      <c r="R813" s="485"/>
      <c r="S813" s="492"/>
      <c r="T813" s="470" t="str">
        <f t="shared" si="981"/>
        <v/>
      </c>
      <c r="V813" s="547"/>
      <c r="W813" s="471">
        <f t="shared" ref="W813:X813" si="983">W812</f>
        <v>32</v>
      </c>
      <c r="X813" s="471" t="e">
        <f t="shared" si="983"/>
        <v>#REF!</v>
      </c>
      <c r="Y813" s="471" t="e">
        <f t="shared" si="977"/>
        <v>#REF!</v>
      </c>
      <c r="Z813" s="471"/>
      <c r="AA813" s="471"/>
    </row>
    <row r="814" spans="1:40" s="457" customFormat="1" ht="15.75" customHeight="1" x14ac:dyDescent="0.15">
      <c r="B814" s="899" t="s">
        <v>375</v>
      </c>
      <c r="C814" s="900"/>
      <c r="D814" s="907" t="s">
        <v>356</v>
      </c>
      <c r="E814" s="908"/>
      <c r="F814" s="903" t="s">
        <v>793</v>
      </c>
      <c r="G814" s="913" t="s">
        <v>794</v>
      </c>
      <c r="H814" s="463" t="str">
        <f t="shared" si="975"/>
        <v>단위</v>
      </c>
      <c r="I814" s="494"/>
      <c r="J814" s="495" t="s">
        <v>348</v>
      </c>
      <c r="K814" s="496"/>
      <c r="L814" s="495" t="s">
        <v>349</v>
      </c>
      <c r="M814" s="496"/>
      <c r="N814" s="497" t="s">
        <v>240</v>
      </c>
      <c r="O814" s="497"/>
      <c r="P814" s="498"/>
      <c r="Q814" s="744" t="s">
        <v>355</v>
      </c>
      <c r="R814" s="744"/>
      <c r="S814" s="499"/>
      <c r="T814" s="470" t="str">
        <f t="shared" si="981"/>
        <v>비  고</v>
      </c>
      <c r="V814" s="547"/>
      <c r="W814" s="471">
        <f t="shared" ref="W814:X814" si="984">W813</f>
        <v>32</v>
      </c>
      <c r="X814" s="471" t="e">
        <f t="shared" si="984"/>
        <v>#REF!</v>
      </c>
      <c r="Y814" s="471" t="e">
        <f t="shared" si="977"/>
        <v>#REF!</v>
      </c>
      <c r="Z814" s="471"/>
      <c r="AA814" s="471"/>
    </row>
    <row r="815" spans="1:40" s="457" customFormat="1" ht="15.75" customHeight="1" x14ac:dyDescent="0.15">
      <c r="B815" s="901"/>
      <c r="C815" s="902"/>
      <c r="D815" s="909"/>
      <c r="E815" s="910"/>
      <c r="F815" s="904"/>
      <c r="G815" s="914"/>
      <c r="H815" s="463" t="str">
        <f t="shared" si="975"/>
        <v/>
      </c>
      <c r="I815" s="500"/>
      <c r="J815" s="501" t="s">
        <v>353</v>
      </c>
      <c r="K815" s="501" t="s">
        <v>354</v>
      </c>
      <c r="L815" s="501" t="s">
        <v>353</v>
      </c>
      <c r="M815" s="502" t="s">
        <v>354</v>
      </c>
      <c r="N815" s="501" t="s">
        <v>353</v>
      </c>
      <c r="O815" s="501" t="s">
        <v>354</v>
      </c>
      <c r="P815" s="503"/>
      <c r="Q815" s="745"/>
      <c r="R815" s="745"/>
      <c r="S815" s="504"/>
      <c r="T815" s="470" t="str">
        <f t="shared" si="981"/>
        <v/>
      </c>
      <c r="V815" s="547"/>
      <c r="W815" s="471">
        <f t="shared" ref="W815:X815" si="985">W814</f>
        <v>32</v>
      </c>
      <c r="X815" s="471" t="e">
        <f t="shared" si="985"/>
        <v>#REF!</v>
      </c>
      <c r="Y815" s="471" t="e">
        <f t="shared" si="977"/>
        <v>#REF!</v>
      </c>
      <c r="Z815" s="471"/>
      <c r="AA815" s="471"/>
    </row>
    <row r="816" spans="1:40" s="457" customFormat="1" ht="15.75" customHeight="1" x14ac:dyDescent="0.15">
      <c r="A816" s="547"/>
      <c r="B816" s="95"/>
      <c r="C816" s="140" t="s">
        <v>1267</v>
      </c>
      <c r="D816" s="95"/>
      <c r="E816" s="141" t="s">
        <v>1275</v>
      </c>
      <c r="F816" s="96" t="s">
        <v>350</v>
      </c>
      <c r="G816" s="505">
        <v>1.03</v>
      </c>
      <c r="H816" s="463" t="str">
        <f t="shared" si="975"/>
        <v>인조대리석THK=12mm, 하이막스, 칩㎡</v>
      </c>
      <c r="I816" s="451" t="str">
        <f>CONCATENATE(C816,E816,F816)</f>
        <v>인조대리석THK=12mm, 하이막스, 칩㎡</v>
      </c>
      <c r="J816" s="506">
        <f>IF(OR($F816="인",$F816=""),"",VLOOKUP($H816,단가!$A:$S,19,FALSE))</f>
        <v>165000</v>
      </c>
      <c r="K816" s="507">
        <f>IF(J816="","",TRUNC($G816*J816,0))</f>
        <v>169950</v>
      </c>
      <c r="L816" s="506" t="str">
        <f>IF($F816="인",VLOOKUP($C:$C,노임!$C:$G,4,FALSE),"")</f>
        <v/>
      </c>
      <c r="M816" s="507" t="str">
        <f>IF(L816="","",TRUNC($G816*L816,0))</f>
        <v/>
      </c>
      <c r="N816" s="507"/>
      <c r="O816" s="507" t="str">
        <f>IF(N816="","",TRUNC($G816*N816,0))</f>
        <v/>
      </c>
      <c r="P816" s="508"/>
      <c r="Q816" s="509" t="str">
        <f>IF(F816="인","노임"&amp;VLOOKUP($C:$C,노임!C:G,5,FALSE)&amp;"번","단가"&amp;VLOOKUP($H:$H,단가!$A:$B,2,FALSE)&amp;"번")</f>
        <v>단가16번</v>
      </c>
      <c r="R816" s="510"/>
      <c r="S816" s="131"/>
      <c r="T816" s="470" t="str">
        <f t="shared" si="981"/>
        <v>단가16번</v>
      </c>
      <c r="V816" s="548"/>
      <c r="W816" s="471">
        <f t="shared" ref="W816:X816" si="986">W815</f>
        <v>32</v>
      </c>
      <c r="X816" s="471" t="e">
        <f t="shared" si="986"/>
        <v>#REF!</v>
      </c>
      <c r="Y816" s="471" t="e">
        <f t="shared" si="977"/>
        <v>#REF!</v>
      </c>
      <c r="Z816" s="471"/>
      <c r="AA816" s="471"/>
    </row>
    <row r="817" spans="1:27" s="457" customFormat="1" ht="15.75" customHeight="1" x14ac:dyDescent="0.15">
      <c r="A817" s="547"/>
      <c r="B817" s="95"/>
      <c r="C817" s="140" t="s">
        <v>1269</v>
      </c>
      <c r="D817" s="95"/>
      <c r="E817" s="97" t="s">
        <v>1271</v>
      </c>
      <c r="F817" s="96" t="s">
        <v>351</v>
      </c>
      <c r="G817" s="505">
        <v>1</v>
      </c>
      <c r="H817" s="463" t="str">
        <f t="shared" si="975"/>
        <v>인조대리석(가공시공비)상판류/ 판재가공, 제작 및 본딩m</v>
      </c>
      <c r="I817" s="451" t="str">
        <f>CONCATENATE(C817,E817,F817)</f>
        <v>인조대리석(가공시공비)상판류/ 판재가공, 제작 및 본딩m</v>
      </c>
      <c r="J817" s="506"/>
      <c r="K817" s="507" t="str">
        <f>IF(J817="","",TRUNC($G817*J817,0))</f>
        <v/>
      </c>
      <c r="L817" s="506">
        <f>IF(OR($F817="인",$F817=""),"",VLOOKUP($H817,단가!$A:$S,19,FALSE))</f>
        <v>109000</v>
      </c>
      <c r="M817" s="507">
        <f>IF(L817="","",TRUNC($G817*L817,0))</f>
        <v>109000</v>
      </c>
      <c r="N817" s="507"/>
      <c r="O817" s="507" t="str">
        <f>IF(N817="","",TRUNC($G817*N817,0))</f>
        <v/>
      </c>
      <c r="P817" s="508"/>
      <c r="Q817" s="509" t="str">
        <f>IF(F817="인","노임"&amp;VLOOKUP($C:$C,노임!C:G,5,FALSE)&amp;"번","단가"&amp;VLOOKUP($H:$H,단가!$A:$B,2,FALSE)&amp;"번")</f>
        <v>단가18번</v>
      </c>
      <c r="R817" s="510"/>
      <c r="S817" s="131"/>
      <c r="T817" s="470" t="str">
        <f t="shared" si="981"/>
        <v>단가18번</v>
      </c>
      <c r="V817" s="548"/>
      <c r="W817" s="471">
        <f t="shared" ref="W817:X817" si="987">W816</f>
        <v>32</v>
      </c>
      <c r="X817" s="471" t="e">
        <f t="shared" si="987"/>
        <v>#REF!</v>
      </c>
      <c r="Y817" s="471" t="e">
        <f t="shared" si="977"/>
        <v>#REF!</v>
      </c>
      <c r="Z817" s="471"/>
      <c r="AA817" s="471"/>
    </row>
    <row r="818" spans="1:27" s="599" customFormat="1" ht="15.75" customHeight="1" x14ac:dyDescent="0.15">
      <c r="B818" s="670"/>
      <c r="C818" s="140"/>
      <c r="D818" s="670"/>
      <c r="E818" s="643"/>
      <c r="F818" s="207"/>
      <c r="G818" s="505"/>
      <c r="H818" s="463" t="str">
        <f t="shared" ref="H818:H819" si="988">CONCATENATE(C818,E818,F818)</f>
        <v/>
      </c>
      <c r="I818" s="671"/>
      <c r="J818" s="506"/>
      <c r="K818" s="507"/>
      <c r="L818" s="506"/>
      <c r="M818" s="507"/>
      <c r="N818" s="507"/>
      <c r="O818" s="507"/>
      <c r="P818" s="508"/>
      <c r="Q818" s="512"/>
      <c r="R818" s="534"/>
      <c r="S818" s="131"/>
      <c r="T818" s="599" t="str">
        <f t="shared" ref="T818:T819" si="989">CONCATENATE(Q818,R818)</f>
        <v/>
      </c>
      <c r="V818" s="549"/>
      <c r="W818" s="471">
        <f t="shared" ref="W818:X818" si="990">W817</f>
        <v>32</v>
      </c>
      <c r="X818" s="471" t="e">
        <f t="shared" si="990"/>
        <v>#REF!</v>
      </c>
      <c r="Y818" s="471" t="e">
        <f t="shared" ref="Y818:Y819" si="991">X818-W818</f>
        <v>#REF!</v>
      </c>
      <c r="Z818" s="471"/>
      <c r="AA818" s="471"/>
    </row>
    <row r="819" spans="1:27" s="599" customFormat="1" ht="15.75" customHeight="1" x14ac:dyDescent="0.15">
      <c r="B819" s="670"/>
      <c r="C819" s="140"/>
      <c r="D819" s="670"/>
      <c r="E819" s="643"/>
      <c r="F819" s="207"/>
      <c r="G819" s="505"/>
      <c r="H819" s="463" t="str">
        <f t="shared" si="988"/>
        <v/>
      </c>
      <c r="I819" s="671"/>
      <c r="J819" s="506"/>
      <c r="K819" s="507"/>
      <c r="L819" s="506"/>
      <c r="M819" s="507"/>
      <c r="N819" s="507"/>
      <c r="O819" s="507"/>
      <c r="P819" s="508"/>
      <c r="Q819" s="512"/>
      <c r="R819" s="534"/>
      <c r="S819" s="131"/>
      <c r="T819" s="599" t="str">
        <f t="shared" si="989"/>
        <v/>
      </c>
      <c r="V819" s="549"/>
      <c r="W819" s="471">
        <f t="shared" ref="W819:X819" si="992">W818</f>
        <v>32</v>
      </c>
      <c r="X819" s="471" t="e">
        <f t="shared" si="992"/>
        <v>#REF!</v>
      </c>
      <c r="Y819" s="471" t="e">
        <f t="shared" si="991"/>
        <v>#REF!</v>
      </c>
      <c r="Z819" s="471"/>
      <c r="AA819" s="471"/>
    </row>
    <row r="820" spans="1:27" s="470" customFormat="1" ht="15.75" customHeight="1" x14ac:dyDescent="0.15">
      <c r="B820" s="95"/>
      <c r="C820" s="140"/>
      <c r="D820" s="95"/>
      <c r="E820" s="141"/>
      <c r="F820" s="96"/>
      <c r="G820" s="505"/>
      <c r="H820" s="463" t="str">
        <f t="shared" si="975"/>
        <v/>
      </c>
      <c r="I820" s="451"/>
      <c r="J820" s="506"/>
      <c r="K820" s="507"/>
      <c r="L820" s="506"/>
      <c r="M820" s="507"/>
      <c r="N820" s="507"/>
      <c r="O820" s="507"/>
      <c r="P820" s="508"/>
      <c r="Q820" s="512"/>
      <c r="R820" s="534"/>
      <c r="S820" s="131"/>
      <c r="T820" s="470" t="str">
        <f t="shared" si="981"/>
        <v/>
      </c>
      <c r="V820" s="549"/>
      <c r="W820" s="471">
        <f t="shared" ref="W820:X820" si="993">W819</f>
        <v>32</v>
      </c>
      <c r="X820" s="471" t="e">
        <f t="shared" si="993"/>
        <v>#REF!</v>
      </c>
      <c r="Y820" s="471" t="e">
        <f t="shared" si="977"/>
        <v>#REF!</v>
      </c>
      <c r="Z820" s="471"/>
      <c r="AA820" s="471"/>
    </row>
    <row r="821" spans="1:27" s="470" customFormat="1" ht="15.75" customHeight="1" x14ac:dyDescent="0.15">
      <c r="B821" s="95"/>
      <c r="C821" s="140"/>
      <c r="D821" s="95"/>
      <c r="E821" s="141"/>
      <c r="F821" s="94"/>
      <c r="G821" s="505"/>
      <c r="H821" s="463" t="str">
        <f t="shared" si="975"/>
        <v/>
      </c>
      <c r="I821" s="451"/>
      <c r="J821" s="506"/>
      <c r="K821" s="507"/>
      <c r="L821" s="506"/>
      <c r="M821" s="507"/>
      <c r="N821" s="507"/>
      <c r="O821" s="507"/>
      <c r="P821" s="508"/>
      <c r="Q821" s="512"/>
      <c r="R821" s="534"/>
      <c r="S821" s="131"/>
      <c r="T821" s="470" t="str">
        <f t="shared" si="981"/>
        <v/>
      </c>
      <c r="V821" s="549"/>
      <c r="W821" s="471">
        <f t="shared" ref="W821:X821" si="994">W820</f>
        <v>32</v>
      </c>
      <c r="X821" s="471" t="e">
        <f t="shared" si="994"/>
        <v>#REF!</v>
      </c>
      <c r="Y821" s="471" t="e">
        <f t="shared" si="977"/>
        <v>#REF!</v>
      </c>
      <c r="Z821" s="471"/>
      <c r="AA821" s="471"/>
    </row>
    <row r="822" spans="1:27" s="470" customFormat="1" ht="15.75" customHeight="1" x14ac:dyDescent="0.15">
      <c r="B822" s="95"/>
      <c r="C822" s="140"/>
      <c r="D822" s="95"/>
      <c r="E822" s="141"/>
      <c r="F822" s="94"/>
      <c r="G822" s="505"/>
      <c r="H822" s="463" t="str">
        <f t="shared" si="975"/>
        <v/>
      </c>
      <c r="I822" s="451"/>
      <c r="J822" s="506"/>
      <c r="K822" s="507"/>
      <c r="L822" s="506"/>
      <c r="M822" s="507"/>
      <c r="N822" s="507"/>
      <c r="O822" s="507"/>
      <c r="P822" s="508"/>
      <c r="Q822" s="512"/>
      <c r="R822" s="534"/>
      <c r="S822" s="131"/>
      <c r="T822" s="470" t="str">
        <f t="shared" si="981"/>
        <v/>
      </c>
      <c r="V822" s="549"/>
      <c r="W822" s="471">
        <f t="shared" ref="W822:X822" si="995">W821</f>
        <v>32</v>
      </c>
      <c r="X822" s="471" t="e">
        <f t="shared" si="995"/>
        <v>#REF!</v>
      </c>
      <c r="Y822" s="471" t="e">
        <f t="shared" si="977"/>
        <v>#REF!</v>
      </c>
      <c r="Z822" s="471"/>
      <c r="AA822" s="471"/>
    </row>
    <row r="823" spans="1:27" s="470" customFormat="1" ht="15.75" customHeight="1" x14ac:dyDescent="0.15">
      <c r="B823" s="95"/>
      <c r="C823" s="140"/>
      <c r="D823" s="95"/>
      <c r="E823" s="141"/>
      <c r="F823" s="94"/>
      <c r="G823" s="505"/>
      <c r="H823" s="463" t="str">
        <f t="shared" si="975"/>
        <v/>
      </c>
      <c r="I823" s="451"/>
      <c r="J823" s="506"/>
      <c r="K823" s="507"/>
      <c r="L823" s="506"/>
      <c r="M823" s="507"/>
      <c r="N823" s="507"/>
      <c r="O823" s="507"/>
      <c r="P823" s="508"/>
      <c r="Q823" s="512"/>
      <c r="R823" s="534"/>
      <c r="S823" s="131"/>
      <c r="T823" s="470" t="str">
        <f t="shared" si="981"/>
        <v/>
      </c>
      <c r="V823" s="549"/>
      <c r="W823" s="471">
        <f t="shared" ref="W823:X823" si="996">W822</f>
        <v>32</v>
      </c>
      <c r="X823" s="471" t="e">
        <f t="shared" si="996"/>
        <v>#REF!</v>
      </c>
      <c r="Y823" s="471" t="e">
        <f t="shared" si="977"/>
        <v>#REF!</v>
      </c>
      <c r="Z823" s="471"/>
      <c r="AA823" s="471"/>
    </row>
    <row r="824" spans="1:27" s="470" customFormat="1" ht="15.75" customHeight="1" x14ac:dyDescent="0.15">
      <c r="B824" s="95"/>
      <c r="C824" s="140"/>
      <c r="D824" s="95"/>
      <c r="E824" s="141"/>
      <c r="F824" s="94"/>
      <c r="G824" s="505"/>
      <c r="H824" s="463" t="str">
        <f t="shared" si="975"/>
        <v/>
      </c>
      <c r="I824" s="451"/>
      <c r="J824" s="506"/>
      <c r="K824" s="507"/>
      <c r="L824" s="506"/>
      <c r="M824" s="507"/>
      <c r="N824" s="507"/>
      <c r="O824" s="507"/>
      <c r="P824" s="508"/>
      <c r="Q824" s="512"/>
      <c r="R824" s="534"/>
      <c r="S824" s="131"/>
      <c r="T824" s="470" t="str">
        <f t="shared" si="981"/>
        <v/>
      </c>
      <c r="V824" s="549"/>
      <c r="W824" s="471">
        <f t="shared" ref="W824:X824" si="997">W823</f>
        <v>32</v>
      </c>
      <c r="X824" s="471" t="e">
        <f t="shared" si="997"/>
        <v>#REF!</v>
      </c>
      <c r="Y824" s="471" t="e">
        <f t="shared" si="977"/>
        <v>#REF!</v>
      </c>
      <c r="Z824" s="471"/>
      <c r="AA824" s="471"/>
    </row>
    <row r="825" spans="1:27" s="470" customFormat="1" ht="15.75" customHeight="1" x14ac:dyDescent="0.15">
      <c r="B825" s="95"/>
      <c r="C825" s="140"/>
      <c r="D825" s="95"/>
      <c r="E825" s="141"/>
      <c r="F825" s="94"/>
      <c r="G825" s="505"/>
      <c r="H825" s="463" t="str">
        <f t="shared" si="975"/>
        <v/>
      </c>
      <c r="I825" s="451"/>
      <c r="J825" s="506"/>
      <c r="K825" s="507"/>
      <c r="L825" s="506"/>
      <c r="M825" s="507"/>
      <c r="N825" s="507"/>
      <c r="O825" s="507"/>
      <c r="P825" s="508"/>
      <c r="Q825" s="512"/>
      <c r="R825" s="534"/>
      <c r="S825" s="131"/>
      <c r="T825" s="470" t="str">
        <f t="shared" si="981"/>
        <v/>
      </c>
      <c r="V825" s="549"/>
      <c r="W825" s="471">
        <f t="shared" ref="W825:X825" si="998">W824</f>
        <v>32</v>
      </c>
      <c r="X825" s="471" t="e">
        <f t="shared" si="998"/>
        <v>#REF!</v>
      </c>
      <c r="Y825" s="471" t="e">
        <f t="shared" si="977"/>
        <v>#REF!</v>
      </c>
      <c r="Z825" s="471"/>
      <c r="AA825" s="471"/>
    </row>
    <row r="826" spans="1:27" s="470" customFormat="1" ht="15.75" customHeight="1" x14ac:dyDescent="0.15">
      <c r="B826" s="95"/>
      <c r="C826" s="140"/>
      <c r="D826" s="95"/>
      <c r="E826" s="141"/>
      <c r="F826" s="94"/>
      <c r="G826" s="505"/>
      <c r="H826" s="463" t="str">
        <f t="shared" si="975"/>
        <v/>
      </c>
      <c r="I826" s="451"/>
      <c r="J826" s="506"/>
      <c r="K826" s="507"/>
      <c r="L826" s="506"/>
      <c r="M826" s="507"/>
      <c r="N826" s="507"/>
      <c r="O826" s="507"/>
      <c r="P826" s="508"/>
      <c r="Q826" s="512"/>
      <c r="R826" s="534"/>
      <c r="S826" s="131"/>
      <c r="T826" s="470" t="str">
        <f t="shared" si="981"/>
        <v/>
      </c>
      <c r="V826" s="549"/>
      <c r="W826" s="471">
        <f t="shared" ref="W826:X826" si="999">W825</f>
        <v>32</v>
      </c>
      <c r="X826" s="471" t="e">
        <f t="shared" si="999"/>
        <v>#REF!</v>
      </c>
      <c r="Y826" s="471" t="e">
        <f t="shared" si="977"/>
        <v>#REF!</v>
      </c>
      <c r="Z826" s="471"/>
      <c r="AA826" s="471"/>
    </row>
    <row r="827" spans="1:27" s="470" customFormat="1" ht="15.75" customHeight="1" x14ac:dyDescent="0.15">
      <c r="B827" s="95"/>
      <c r="C827" s="140"/>
      <c r="D827" s="95"/>
      <c r="E827" s="141"/>
      <c r="F827" s="94"/>
      <c r="G827" s="505"/>
      <c r="H827" s="463" t="str">
        <f t="shared" si="975"/>
        <v/>
      </c>
      <c r="I827" s="451"/>
      <c r="J827" s="506"/>
      <c r="K827" s="507"/>
      <c r="L827" s="506"/>
      <c r="M827" s="507"/>
      <c r="N827" s="507"/>
      <c r="O827" s="507"/>
      <c r="P827" s="508"/>
      <c r="Q827" s="512"/>
      <c r="R827" s="534"/>
      <c r="S827" s="131"/>
      <c r="T827" s="470" t="str">
        <f t="shared" si="981"/>
        <v/>
      </c>
      <c r="V827" s="549"/>
      <c r="W827" s="471">
        <f t="shared" ref="W827:X827" si="1000">W826</f>
        <v>32</v>
      </c>
      <c r="X827" s="471" t="e">
        <f t="shared" si="1000"/>
        <v>#REF!</v>
      </c>
      <c r="Y827" s="471" t="e">
        <f t="shared" ref="Y827:Y864" si="1001">X827-W827</f>
        <v>#REF!</v>
      </c>
      <c r="Z827" s="471"/>
      <c r="AA827" s="471"/>
    </row>
    <row r="828" spans="1:27" s="470" customFormat="1" ht="15.75" customHeight="1" x14ac:dyDescent="0.15">
      <c r="B828" s="95"/>
      <c r="C828" s="140"/>
      <c r="D828" s="95"/>
      <c r="E828" s="141"/>
      <c r="F828" s="94"/>
      <c r="G828" s="505"/>
      <c r="H828" s="463" t="str">
        <f t="shared" si="975"/>
        <v/>
      </c>
      <c r="I828" s="451"/>
      <c r="J828" s="506"/>
      <c r="K828" s="507"/>
      <c r="L828" s="506"/>
      <c r="M828" s="507"/>
      <c r="N828" s="507"/>
      <c r="O828" s="507"/>
      <c r="P828" s="508"/>
      <c r="Q828" s="512"/>
      <c r="R828" s="534"/>
      <c r="S828" s="131"/>
      <c r="T828" s="470" t="str">
        <f t="shared" si="981"/>
        <v/>
      </c>
      <c r="V828" s="549"/>
      <c r="W828" s="471">
        <f t="shared" ref="W828:X828" si="1002">W827</f>
        <v>32</v>
      </c>
      <c r="X828" s="471" t="e">
        <f t="shared" si="1002"/>
        <v>#REF!</v>
      </c>
      <c r="Y828" s="471" t="e">
        <f t="shared" si="1001"/>
        <v>#REF!</v>
      </c>
      <c r="Z828" s="471"/>
      <c r="AA828" s="471"/>
    </row>
    <row r="829" spans="1:27" s="470" customFormat="1" ht="15.75" customHeight="1" x14ac:dyDescent="0.15">
      <c r="B829" s="95"/>
      <c r="C829" s="140"/>
      <c r="D829" s="95"/>
      <c r="E829" s="141"/>
      <c r="F829" s="94"/>
      <c r="G829" s="505"/>
      <c r="H829" s="463" t="str">
        <f t="shared" si="975"/>
        <v/>
      </c>
      <c r="I829" s="451"/>
      <c r="J829" s="506"/>
      <c r="K829" s="507"/>
      <c r="L829" s="506"/>
      <c r="M829" s="507"/>
      <c r="N829" s="507"/>
      <c r="O829" s="507"/>
      <c r="P829" s="508"/>
      <c r="Q829" s="512"/>
      <c r="R829" s="513"/>
      <c r="S829" s="131"/>
      <c r="T829" s="470" t="str">
        <f t="shared" si="981"/>
        <v/>
      </c>
      <c r="V829" s="549"/>
      <c r="W829" s="471">
        <f t="shared" ref="W829:X829" si="1003">W828</f>
        <v>32</v>
      </c>
      <c r="X829" s="471" t="e">
        <f t="shared" si="1003"/>
        <v>#REF!</v>
      </c>
      <c r="Y829" s="471" t="e">
        <f t="shared" si="1001"/>
        <v>#REF!</v>
      </c>
      <c r="Z829" s="471"/>
      <c r="AA829" s="471"/>
    </row>
    <row r="830" spans="1:27" s="470" customFormat="1" ht="15.75" customHeight="1" x14ac:dyDescent="0.15">
      <c r="B830" s="514" t="s">
        <v>751</v>
      </c>
      <c r="C830" s="515"/>
      <c r="D830" s="516"/>
      <c r="E830" s="517"/>
      <c r="F830" s="518"/>
      <c r="G830" s="519"/>
      <c r="H830" s="463" t="str">
        <f t="shared" si="975"/>
        <v/>
      </c>
      <c r="I830" s="520">
        <f>목록!$B$38</f>
        <v>32</v>
      </c>
      <c r="J830" s="521"/>
      <c r="K830" s="522">
        <f>SUM(K816:K829)</f>
        <v>169950</v>
      </c>
      <c r="L830" s="521"/>
      <c r="M830" s="522">
        <f>SUM(M816:M829)</f>
        <v>109000</v>
      </c>
      <c r="N830" s="521"/>
      <c r="O830" s="522">
        <f>SUM(O816:O829)</f>
        <v>0</v>
      </c>
      <c r="P830" s="523"/>
      <c r="Q830" s="512"/>
      <c r="R830" s="513"/>
      <c r="S830" s="524"/>
      <c r="T830" s="470" t="str">
        <f t="shared" si="981"/>
        <v/>
      </c>
      <c r="V830" s="549"/>
      <c r="W830" s="471">
        <f t="shared" ref="W830:X830" si="1004">W829</f>
        <v>32</v>
      </c>
      <c r="X830" s="471" t="e">
        <f t="shared" si="1004"/>
        <v>#REF!</v>
      </c>
      <c r="Y830" s="471" t="e">
        <f t="shared" si="1001"/>
        <v>#REF!</v>
      </c>
      <c r="Z830" s="471"/>
      <c r="AA830" s="471"/>
    </row>
    <row r="831" spans="1:27" s="470" customFormat="1" ht="15.75" customHeight="1" x14ac:dyDescent="0.15">
      <c r="B831" s="453"/>
      <c r="C831" s="209"/>
      <c r="D831" s="95"/>
      <c r="E831" s="141"/>
      <c r="F831" s="94"/>
      <c r="G831" s="505"/>
      <c r="H831" s="463" t="str">
        <f t="shared" si="975"/>
        <v/>
      </c>
      <c r="I831" s="451"/>
      <c r="J831" s="506"/>
      <c r="K831" s="507"/>
      <c r="L831" s="506"/>
      <c r="M831" s="507"/>
      <c r="N831" s="507"/>
      <c r="O831" s="507"/>
      <c r="P831" s="508"/>
      <c r="Q831" s="512"/>
      <c r="R831" s="513"/>
      <c r="S831" s="131"/>
      <c r="T831" s="470" t="str">
        <f t="shared" si="981"/>
        <v/>
      </c>
      <c r="V831" s="549"/>
      <c r="W831" s="615">
        <f t="shared" ref="W831:X831" si="1005">W830</f>
        <v>32</v>
      </c>
      <c r="X831" s="471" t="e">
        <f t="shared" si="1005"/>
        <v>#REF!</v>
      </c>
      <c r="Y831" s="471" t="e">
        <f t="shared" si="1001"/>
        <v>#REF!</v>
      </c>
      <c r="Z831" s="471"/>
      <c r="AA831" s="471"/>
    </row>
    <row r="832" spans="1:27" s="470" customFormat="1" ht="15.75" customHeight="1" x14ac:dyDescent="0.15">
      <c r="A832" s="457"/>
      <c r="B832" s="453"/>
      <c r="C832" s="630" t="s">
        <v>1280</v>
      </c>
      <c r="D832" s="95"/>
      <c r="E832" s="141"/>
      <c r="F832" s="94"/>
      <c r="G832" s="505"/>
      <c r="H832" s="463" t="str">
        <f t="shared" si="975"/>
        <v>※ 거래실례가격 참조 (물가자료 492P)</v>
      </c>
      <c r="I832" s="451"/>
      <c r="J832" s="506"/>
      <c r="K832" s="507"/>
      <c r="L832" s="506"/>
      <c r="M832" s="507"/>
      <c r="N832" s="507"/>
      <c r="O832" s="507"/>
      <c r="P832" s="508"/>
      <c r="Q832" s="512"/>
      <c r="R832" s="513"/>
      <c r="S832" s="131"/>
      <c r="T832" s="470" t="str">
        <f t="shared" si="981"/>
        <v/>
      </c>
      <c r="V832" s="551"/>
      <c r="W832" s="471">
        <f t="shared" ref="W832:X832" si="1006">W831</f>
        <v>32</v>
      </c>
      <c r="X832" s="471" t="e">
        <f t="shared" si="1006"/>
        <v>#REF!</v>
      </c>
      <c r="Y832" s="471" t="e">
        <f t="shared" si="1001"/>
        <v>#REF!</v>
      </c>
      <c r="Z832" s="471"/>
      <c r="AA832" s="471"/>
    </row>
    <row r="833" spans="1:40" s="470" customFormat="1" ht="15.75" customHeight="1" x14ac:dyDescent="0.15">
      <c r="B833" s="514"/>
      <c r="C833" s="515"/>
      <c r="D833" s="516"/>
      <c r="E833" s="517"/>
      <c r="F833" s="518"/>
      <c r="G833" s="519"/>
      <c r="H833" s="463" t="str">
        <f t="shared" si="975"/>
        <v/>
      </c>
      <c r="I833" s="520"/>
      <c r="J833" s="521"/>
      <c r="K833" s="522"/>
      <c r="L833" s="521"/>
      <c r="M833" s="522"/>
      <c r="N833" s="521"/>
      <c r="O833" s="522"/>
      <c r="P833" s="523"/>
      <c r="Q833" s="512"/>
      <c r="R833" s="513"/>
      <c r="S833" s="524"/>
      <c r="T833" s="470" t="str">
        <f t="shared" si="981"/>
        <v/>
      </c>
      <c r="U833" s="457"/>
      <c r="W833" s="471">
        <f t="shared" ref="W833:X833" si="1007">W832</f>
        <v>32</v>
      </c>
      <c r="X833" s="471" t="e">
        <f t="shared" si="1007"/>
        <v>#REF!</v>
      </c>
      <c r="Y833" s="471" t="e">
        <f t="shared" si="1001"/>
        <v>#REF!</v>
      </c>
      <c r="Z833" s="471"/>
      <c r="AA833" s="471"/>
      <c r="AB833" s="457"/>
      <c r="AC833" s="457"/>
      <c r="AD833" s="457"/>
      <c r="AE833" s="457"/>
      <c r="AF833" s="457"/>
      <c r="AG833" s="457"/>
      <c r="AH833" s="457"/>
      <c r="AI833" s="457"/>
      <c r="AJ833" s="457"/>
      <c r="AK833" s="457"/>
      <c r="AL833" s="457"/>
      <c r="AM833" s="457"/>
      <c r="AN833" s="457"/>
    </row>
    <row r="834" spans="1:40" s="457" customFormat="1" ht="15.75" customHeight="1" x14ac:dyDescent="0.15">
      <c r="A834" s="470"/>
      <c r="C834" s="458"/>
      <c r="D834" s="459"/>
      <c r="E834" s="460"/>
      <c r="F834" s="461"/>
      <c r="G834" s="462"/>
      <c r="H834" s="463" t="str">
        <f t="shared" si="975"/>
        <v/>
      </c>
      <c r="I834" s="464"/>
      <c r="J834" s="465"/>
      <c r="K834" s="465"/>
      <c r="L834" s="465"/>
      <c r="M834" s="465"/>
      <c r="N834" s="465"/>
      <c r="O834" s="466"/>
      <c r="P834" s="467"/>
      <c r="Q834" s="468"/>
      <c r="R834" s="469"/>
      <c r="S834" s="467"/>
      <c r="T834" s="470" t="str">
        <f t="shared" si="981"/>
        <v/>
      </c>
      <c r="U834" s="470"/>
      <c r="V834" s="470"/>
      <c r="W834" s="533">
        <f t="shared" ref="W834" si="1008">I856</f>
        <v>33</v>
      </c>
      <c r="X834" s="533" t="e">
        <f t="shared" ref="X834" si="1009">X833+1</f>
        <v>#REF!</v>
      </c>
      <c r="Y834" s="533" t="e">
        <f t="shared" si="1001"/>
        <v>#REF!</v>
      </c>
      <c r="Z834" s="533"/>
      <c r="AA834" s="533"/>
      <c r="AB834" s="470"/>
      <c r="AC834" s="470"/>
      <c r="AD834" s="470"/>
      <c r="AE834" s="470"/>
      <c r="AF834" s="470"/>
      <c r="AG834" s="470"/>
      <c r="AH834" s="470"/>
      <c r="AI834" s="470"/>
      <c r="AJ834" s="470"/>
      <c r="AK834" s="470"/>
      <c r="AL834" s="470"/>
      <c r="AM834" s="470"/>
      <c r="AN834" s="470"/>
    </row>
    <row r="835" spans="1:40" s="470" customFormat="1" ht="15.75" customHeight="1" x14ac:dyDescent="0.15">
      <c r="A835" s="457"/>
      <c r="B835" s="473"/>
      <c r="C835" s="474" t="str">
        <f>"   항목번호 : "&amp;목록!L$39</f>
        <v xml:space="preserve">   항목번호 : 제33호표</v>
      </c>
      <c r="D835" s="475">
        <f>목록!B$39</f>
        <v>33</v>
      </c>
      <c r="E835" s="476"/>
      <c r="F835" s="477"/>
      <c r="G835" s="478"/>
      <c r="H835" s="463" t="str">
        <f t="shared" si="975"/>
        <v xml:space="preserve">   항목번호 : 제33호표</v>
      </c>
      <c r="I835" s="479"/>
      <c r="J835" s="480"/>
      <c r="K835" s="481"/>
      <c r="L835" s="482"/>
      <c r="M835" s="482"/>
      <c r="N835" s="482"/>
      <c r="O835" s="466"/>
      <c r="P835" s="483"/>
      <c r="Q835" s="484"/>
      <c r="R835" s="485"/>
      <c r="S835" s="483"/>
      <c r="T835" s="470" t="str">
        <f t="shared" si="981"/>
        <v/>
      </c>
      <c r="V835" s="551"/>
      <c r="W835" s="471">
        <f t="shared" ref="W835:X835" si="1010">W834</f>
        <v>33</v>
      </c>
      <c r="X835" s="471" t="e">
        <f t="shared" si="1010"/>
        <v>#REF!</v>
      </c>
      <c r="Y835" s="471" t="e">
        <f t="shared" si="1001"/>
        <v>#REF!</v>
      </c>
      <c r="Z835" s="471"/>
      <c r="AA835" s="471"/>
    </row>
    <row r="836" spans="1:40" s="470" customFormat="1" ht="15.75" customHeight="1" x14ac:dyDescent="0.15">
      <c r="A836" s="457"/>
      <c r="B836" s="473"/>
      <c r="C836" s="474" t="str">
        <f>"   공      종 : "&amp;목록!D$39</f>
        <v xml:space="preserve">   공      종 : 인조대리석 측벽시공</v>
      </c>
      <c r="D836" s="484"/>
      <c r="E836" s="476"/>
      <c r="F836" s="473"/>
      <c r="G836" s="478"/>
      <c r="H836" s="463" t="str">
        <f t="shared" si="975"/>
        <v xml:space="preserve">   공      종 : 인조대리석 측벽시공</v>
      </c>
      <c r="I836" s="479"/>
      <c r="J836" s="480"/>
      <c r="K836" s="481"/>
      <c r="L836" s="482"/>
      <c r="M836" s="482"/>
      <c r="N836" s="482"/>
      <c r="O836" s="466"/>
      <c r="P836" s="483"/>
      <c r="Q836" s="484"/>
      <c r="R836" s="485"/>
      <c r="S836" s="483"/>
      <c r="T836" s="470" t="str">
        <f t="shared" si="981"/>
        <v/>
      </c>
      <c r="U836" s="457"/>
      <c r="W836" s="471">
        <f t="shared" ref="W836:X836" si="1011">W835</f>
        <v>33</v>
      </c>
      <c r="X836" s="471" t="e">
        <f t="shared" si="1011"/>
        <v>#REF!</v>
      </c>
      <c r="Y836" s="471" t="e">
        <f t="shared" si="1001"/>
        <v>#REF!</v>
      </c>
      <c r="Z836" s="471"/>
      <c r="AA836" s="471"/>
      <c r="AB836" s="457"/>
      <c r="AC836" s="457"/>
      <c r="AD836" s="457"/>
      <c r="AE836" s="457"/>
      <c r="AF836" s="457"/>
      <c r="AG836" s="457"/>
      <c r="AH836" s="457"/>
      <c r="AI836" s="457"/>
      <c r="AJ836" s="457"/>
      <c r="AK836" s="457"/>
      <c r="AL836" s="457"/>
      <c r="AM836" s="457"/>
      <c r="AN836" s="457"/>
    </row>
    <row r="837" spans="1:40" s="457" customFormat="1" ht="15.75" customHeight="1" x14ac:dyDescent="0.15">
      <c r="B837" s="473"/>
      <c r="C837" s="474" t="str">
        <f xml:space="preserve"> "   규      격 : "&amp;목록!F$39</f>
        <v xml:space="preserve">   규      격 : THK=12mm, 하이막스, 화이트칩</v>
      </c>
      <c r="D837" s="484"/>
      <c r="E837" s="476"/>
      <c r="F837" s="473"/>
      <c r="G837" s="478"/>
      <c r="H837" s="463" t="str">
        <f t="shared" si="975"/>
        <v xml:space="preserve">   규      격 : THK=12mm, 하이막스, 화이트칩</v>
      </c>
      <c r="I837" s="479"/>
      <c r="J837" s="480" t="s">
        <v>348</v>
      </c>
      <c r="K837" s="481"/>
      <c r="L837" s="482" t="s">
        <v>349</v>
      </c>
      <c r="M837" s="482"/>
      <c r="N837" s="482" t="s">
        <v>240</v>
      </c>
      <c r="O837" s="466"/>
      <c r="P837" s="483"/>
      <c r="Q837" s="484" t="s">
        <v>752</v>
      </c>
      <c r="R837" s="484"/>
      <c r="S837" s="483"/>
      <c r="T837" s="470" t="str">
        <f t="shared" si="981"/>
        <v>합계</v>
      </c>
      <c r="V837" s="547"/>
      <c r="W837" s="471">
        <f t="shared" ref="W837:X837" si="1012">W836</f>
        <v>33</v>
      </c>
      <c r="X837" s="471" t="e">
        <f t="shared" si="1012"/>
        <v>#REF!</v>
      </c>
      <c r="Y837" s="471" t="e">
        <f t="shared" si="1001"/>
        <v>#REF!</v>
      </c>
      <c r="Z837" s="471"/>
      <c r="AA837" s="471"/>
    </row>
    <row r="838" spans="1:40" s="457" customFormat="1" ht="15.75" customHeight="1" x14ac:dyDescent="0.15">
      <c r="B838" s="473"/>
      <c r="C838" s="474" t="str">
        <f>"   단      위 : "&amp;목록!G$39</f>
        <v xml:space="preserve">   단      위 : ㎡</v>
      </c>
      <c r="D838" s="484"/>
      <c r="E838" s="476"/>
      <c r="F838" s="473"/>
      <c r="G838" s="478"/>
      <c r="H838" s="463" t="str">
        <f t="shared" si="975"/>
        <v xml:space="preserve">   단      위 : ㎡</v>
      </c>
      <c r="I838" s="479"/>
      <c r="J838" s="486">
        <f>K856</f>
        <v>169950</v>
      </c>
      <c r="K838" s="481"/>
      <c r="L838" s="487">
        <f>M856</f>
        <v>159000</v>
      </c>
      <c r="M838" s="482"/>
      <c r="N838" s="482">
        <f>O856</f>
        <v>0</v>
      </c>
      <c r="O838" s="466"/>
      <c r="P838" s="483"/>
      <c r="Q838" s="488">
        <f>J838+L838+N838</f>
        <v>328950</v>
      </c>
      <c r="R838" s="489"/>
      <c r="S838" s="483"/>
      <c r="T838" s="470" t="str">
        <f t="shared" si="981"/>
        <v>328950</v>
      </c>
      <c r="V838" s="547"/>
      <c r="W838" s="471">
        <f t="shared" ref="W838:X838" si="1013">W837</f>
        <v>33</v>
      </c>
      <c r="X838" s="471" t="e">
        <f t="shared" si="1013"/>
        <v>#REF!</v>
      </c>
      <c r="Y838" s="471" t="e">
        <f t="shared" si="1001"/>
        <v>#REF!</v>
      </c>
      <c r="Z838" s="471"/>
      <c r="AA838" s="471"/>
    </row>
    <row r="839" spans="1:40" s="457" customFormat="1" ht="15.75" customHeight="1" x14ac:dyDescent="0.15">
      <c r="B839" s="473"/>
      <c r="C839" s="474"/>
      <c r="D839" s="484"/>
      <c r="E839" s="476"/>
      <c r="F839" s="473"/>
      <c r="G839" s="490"/>
      <c r="H839" s="463" t="str">
        <f t="shared" si="975"/>
        <v/>
      </c>
      <c r="I839" s="491"/>
      <c r="J839" s="482"/>
      <c r="K839" s="465"/>
      <c r="L839" s="482"/>
      <c r="M839" s="482"/>
      <c r="N839" s="482"/>
      <c r="O839" s="466"/>
      <c r="P839" s="492"/>
      <c r="Q839" s="493"/>
      <c r="R839" s="485"/>
      <c r="S839" s="492"/>
      <c r="T839" s="470" t="str">
        <f t="shared" si="981"/>
        <v/>
      </c>
      <c r="V839" s="547"/>
      <c r="W839" s="471">
        <f t="shared" ref="W839:X839" si="1014">W838</f>
        <v>33</v>
      </c>
      <c r="X839" s="471" t="e">
        <f t="shared" si="1014"/>
        <v>#REF!</v>
      </c>
      <c r="Y839" s="471" t="e">
        <f t="shared" si="1001"/>
        <v>#REF!</v>
      </c>
      <c r="Z839" s="471"/>
      <c r="AA839" s="471"/>
    </row>
    <row r="840" spans="1:40" s="457" customFormat="1" ht="15.75" customHeight="1" x14ac:dyDescent="0.15">
      <c r="B840" s="899" t="s">
        <v>375</v>
      </c>
      <c r="C840" s="900"/>
      <c r="D840" s="907" t="s">
        <v>356</v>
      </c>
      <c r="E840" s="908"/>
      <c r="F840" s="903" t="s">
        <v>782</v>
      </c>
      <c r="G840" s="913" t="s">
        <v>783</v>
      </c>
      <c r="H840" s="463" t="str">
        <f t="shared" si="975"/>
        <v>단위</v>
      </c>
      <c r="I840" s="494"/>
      <c r="J840" s="495" t="s">
        <v>348</v>
      </c>
      <c r="K840" s="496"/>
      <c r="L840" s="495" t="s">
        <v>349</v>
      </c>
      <c r="M840" s="496"/>
      <c r="N840" s="497" t="s">
        <v>240</v>
      </c>
      <c r="O840" s="497"/>
      <c r="P840" s="498"/>
      <c r="Q840" s="744" t="s">
        <v>355</v>
      </c>
      <c r="R840" s="744"/>
      <c r="S840" s="499"/>
      <c r="T840" s="470" t="str">
        <f t="shared" si="981"/>
        <v>비  고</v>
      </c>
      <c r="V840" s="547"/>
      <c r="W840" s="471">
        <f t="shared" ref="W840:X840" si="1015">W839</f>
        <v>33</v>
      </c>
      <c r="X840" s="471" t="e">
        <f t="shared" si="1015"/>
        <v>#REF!</v>
      </c>
      <c r="Y840" s="471" t="e">
        <f t="shared" si="1001"/>
        <v>#REF!</v>
      </c>
      <c r="Z840" s="471"/>
      <c r="AA840" s="471"/>
    </row>
    <row r="841" spans="1:40" s="457" customFormat="1" ht="15.75" customHeight="1" x14ac:dyDescent="0.15">
      <c r="B841" s="901"/>
      <c r="C841" s="902"/>
      <c r="D841" s="909"/>
      <c r="E841" s="910"/>
      <c r="F841" s="904"/>
      <c r="G841" s="914"/>
      <c r="H841" s="463" t="str">
        <f t="shared" si="975"/>
        <v/>
      </c>
      <c r="I841" s="500"/>
      <c r="J841" s="501" t="s">
        <v>353</v>
      </c>
      <c r="K841" s="501" t="s">
        <v>354</v>
      </c>
      <c r="L841" s="501" t="s">
        <v>353</v>
      </c>
      <c r="M841" s="502" t="s">
        <v>354</v>
      </c>
      <c r="N841" s="501" t="s">
        <v>353</v>
      </c>
      <c r="O841" s="501" t="s">
        <v>354</v>
      </c>
      <c r="P841" s="503"/>
      <c r="Q841" s="745"/>
      <c r="R841" s="745"/>
      <c r="S841" s="504"/>
      <c r="T841" s="470" t="str">
        <f t="shared" si="981"/>
        <v/>
      </c>
      <c r="V841" s="547"/>
      <c r="W841" s="471">
        <f t="shared" ref="W841:X841" si="1016">W840</f>
        <v>33</v>
      </c>
      <c r="X841" s="471" t="e">
        <f t="shared" si="1016"/>
        <v>#REF!</v>
      </c>
      <c r="Y841" s="471" t="e">
        <f t="shared" si="1001"/>
        <v>#REF!</v>
      </c>
      <c r="Z841" s="471"/>
      <c r="AA841" s="471"/>
    </row>
    <row r="842" spans="1:40" s="457" customFormat="1" ht="15.75" customHeight="1" x14ac:dyDescent="0.15">
      <c r="A842" s="547"/>
      <c r="B842" s="95"/>
      <c r="C842" s="140" t="s">
        <v>1267</v>
      </c>
      <c r="D842" s="670"/>
      <c r="E842" s="643" t="s">
        <v>1275</v>
      </c>
      <c r="F842" s="207" t="s">
        <v>350</v>
      </c>
      <c r="G842" s="505">
        <v>1.03</v>
      </c>
      <c r="H842" s="463" t="str">
        <f>CONCATENATE(C842,E842,F842)</f>
        <v>인조대리석THK=12mm, 하이막스, 칩㎡</v>
      </c>
      <c r="I842" s="451" t="str">
        <f>CONCATENATE(C842,E842,F842)</f>
        <v>인조대리석THK=12mm, 하이막스, 칩㎡</v>
      </c>
      <c r="J842" s="506">
        <f>IF(OR($F842="인",$F842=""),"",VLOOKUP($H842,단가!$A:$S,19,FALSE))</f>
        <v>165000</v>
      </c>
      <c r="K842" s="507">
        <f>IF(J842="","",TRUNC($G842*J842,0))</f>
        <v>169950</v>
      </c>
      <c r="L842" s="506" t="str">
        <f>IF($F842="인",VLOOKUP($C:$C,노임!$C:$G,4,FALSE),"")</f>
        <v/>
      </c>
      <c r="M842" s="507" t="str">
        <f>IF(L842="","",TRUNC($G842*L842,0))</f>
        <v/>
      </c>
      <c r="N842" s="507"/>
      <c r="O842" s="507" t="str">
        <f>IF(N842="","",TRUNC($G842*N842,0))</f>
        <v/>
      </c>
      <c r="P842" s="508"/>
      <c r="Q842" s="509" t="str">
        <f>IF(F842="인","노임"&amp;VLOOKUP($C:$C,노임!C:G,5,FALSE)&amp;"번","단가"&amp;VLOOKUP($H:$H,단가!$A:$B,2,FALSE)&amp;"번")</f>
        <v>단가16번</v>
      </c>
      <c r="R842" s="510"/>
      <c r="S842" s="131"/>
      <c r="T842" s="470" t="str">
        <f t="shared" si="981"/>
        <v>단가16번</v>
      </c>
      <c r="V842" s="548"/>
      <c r="W842" s="471">
        <f t="shared" ref="W842:X842" si="1017">W841</f>
        <v>33</v>
      </c>
      <c r="X842" s="471" t="e">
        <f t="shared" si="1017"/>
        <v>#REF!</v>
      </c>
      <c r="Y842" s="471" t="e">
        <f t="shared" si="1001"/>
        <v>#REF!</v>
      </c>
      <c r="Z842" s="471"/>
      <c r="AA842" s="471"/>
    </row>
    <row r="843" spans="1:40" s="457" customFormat="1" ht="15.75" customHeight="1" x14ac:dyDescent="0.15">
      <c r="A843" s="547"/>
      <c r="B843" s="95"/>
      <c r="C843" s="164" t="s">
        <v>1270</v>
      </c>
      <c r="D843" s="165"/>
      <c r="E843" s="164" t="s">
        <v>1273</v>
      </c>
      <c r="F843" s="207" t="s">
        <v>350</v>
      </c>
      <c r="G843" s="505">
        <v>1</v>
      </c>
      <c r="H843" s="463" t="str">
        <f>CONCATENATE(C843,E843,F843)</f>
        <v>인조대리석(가공시공비)벽체/ 판재가공, 현장접합 및 본딩㎡</v>
      </c>
      <c r="I843" s="451" t="str">
        <f>CONCATENATE(C843,E843,F843)</f>
        <v>인조대리석(가공시공비)벽체/ 판재가공, 현장접합 및 본딩㎡</v>
      </c>
      <c r="J843" s="506"/>
      <c r="K843" s="507" t="str">
        <f>IF(J843="","",TRUNC($G843*J843,0))</f>
        <v/>
      </c>
      <c r="L843" s="506">
        <f>IF(OR($F843="인",$F843=""),"",VLOOKUP($H843,단가!$A:$S,19,FALSE))</f>
        <v>159000</v>
      </c>
      <c r="M843" s="507">
        <f>IF(L843="","",TRUNC($G843*L843,0))</f>
        <v>159000</v>
      </c>
      <c r="N843" s="507"/>
      <c r="O843" s="507" t="str">
        <f>IF(N843="","",TRUNC($G843*N843,0))</f>
        <v/>
      </c>
      <c r="P843" s="508"/>
      <c r="Q843" s="509" t="str">
        <f>IF(F843="인","노임"&amp;VLOOKUP($C:$C,노임!C:G,5,FALSE)&amp;"번","단가"&amp;VLOOKUP($H:$H,단가!$A:$B,2,FALSE)&amp;"번")</f>
        <v>단가19번</v>
      </c>
      <c r="R843" s="510"/>
      <c r="S843" s="131"/>
      <c r="T843" s="599" t="str">
        <f t="shared" ref="T843:T846" si="1018">CONCATENATE(Q843,R843)</f>
        <v>단가19번</v>
      </c>
      <c r="V843" s="548"/>
      <c r="W843" s="471">
        <f t="shared" ref="W843:X843" si="1019">W842</f>
        <v>33</v>
      </c>
      <c r="X843" s="471" t="e">
        <f t="shared" si="1019"/>
        <v>#REF!</v>
      </c>
      <c r="Y843" s="471" t="e">
        <f t="shared" si="1001"/>
        <v>#REF!</v>
      </c>
      <c r="Z843" s="471"/>
      <c r="AA843" s="471"/>
    </row>
    <row r="844" spans="1:40" s="599" customFormat="1" ht="15.75" customHeight="1" x14ac:dyDescent="0.15">
      <c r="B844" s="670"/>
      <c r="C844" s="140"/>
      <c r="D844" s="670"/>
      <c r="E844" s="643"/>
      <c r="F844" s="207"/>
      <c r="G844" s="505"/>
      <c r="H844" s="463" t="str">
        <f t="shared" ref="H844:H846" si="1020">CONCATENATE(C844,E844,F844)</f>
        <v/>
      </c>
      <c r="I844" s="671"/>
      <c r="J844" s="506"/>
      <c r="K844" s="507"/>
      <c r="L844" s="506"/>
      <c r="M844" s="507"/>
      <c r="N844" s="507"/>
      <c r="O844" s="507"/>
      <c r="P844" s="508"/>
      <c r="Q844" s="512"/>
      <c r="R844" s="534"/>
      <c r="S844" s="131"/>
      <c r="T844" s="599" t="str">
        <f t="shared" si="1018"/>
        <v/>
      </c>
      <c r="V844" s="549"/>
      <c r="W844" s="471">
        <f t="shared" ref="W844:X844" si="1021">W843</f>
        <v>33</v>
      </c>
      <c r="X844" s="471" t="e">
        <f t="shared" si="1021"/>
        <v>#REF!</v>
      </c>
      <c r="Y844" s="471" t="e">
        <f t="shared" ref="Y844:Y846" si="1022">X844-W844</f>
        <v>#REF!</v>
      </c>
      <c r="Z844" s="471"/>
      <c r="AA844" s="471"/>
    </row>
    <row r="845" spans="1:40" s="599" customFormat="1" ht="15.75" customHeight="1" x14ac:dyDescent="0.15">
      <c r="B845" s="670"/>
      <c r="C845" s="140"/>
      <c r="D845" s="670"/>
      <c r="E845" s="643"/>
      <c r="F845" s="207"/>
      <c r="G845" s="505"/>
      <c r="H845" s="463" t="str">
        <f t="shared" si="1020"/>
        <v/>
      </c>
      <c r="I845" s="671"/>
      <c r="J845" s="506"/>
      <c r="K845" s="507"/>
      <c r="L845" s="506"/>
      <c r="M845" s="507"/>
      <c r="N845" s="507"/>
      <c r="O845" s="507"/>
      <c r="P845" s="508"/>
      <c r="Q845" s="512"/>
      <c r="R845" s="534"/>
      <c r="S845" s="131"/>
      <c r="T845" s="599" t="str">
        <f t="shared" si="1018"/>
        <v/>
      </c>
      <c r="V845" s="549"/>
      <c r="W845" s="471">
        <f t="shared" ref="W845:X845" si="1023">W844</f>
        <v>33</v>
      </c>
      <c r="X845" s="471" t="e">
        <f t="shared" si="1023"/>
        <v>#REF!</v>
      </c>
      <c r="Y845" s="471" t="e">
        <f t="shared" si="1022"/>
        <v>#REF!</v>
      </c>
      <c r="Z845" s="471"/>
      <c r="AA845" s="471"/>
    </row>
    <row r="846" spans="1:40" s="599" customFormat="1" ht="15.75" customHeight="1" x14ac:dyDescent="0.15">
      <c r="B846" s="670"/>
      <c r="C846" s="140"/>
      <c r="D846" s="670"/>
      <c r="E846" s="643"/>
      <c r="F846" s="207"/>
      <c r="G846" s="505"/>
      <c r="H846" s="463" t="str">
        <f t="shared" si="1020"/>
        <v/>
      </c>
      <c r="I846" s="671"/>
      <c r="J846" s="506"/>
      <c r="K846" s="507"/>
      <c r="L846" s="506"/>
      <c r="M846" s="507"/>
      <c r="N846" s="507"/>
      <c r="O846" s="507"/>
      <c r="P846" s="508"/>
      <c r="Q846" s="512"/>
      <c r="R846" s="534"/>
      <c r="S846" s="131"/>
      <c r="T846" s="599" t="str">
        <f t="shared" si="1018"/>
        <v/>
      </c>
      <c r="V846" s="549"/>
      <c r="W846" s="471">
        <f t="shared" ref="W846:X846" si="1024">W845</f>
        <v>33</v>
      </c>
      <c r="X846" s="471" t="e">
        <f t="shared" si="1024"/>
        <v>#REF!</v>
      </c>
      <c r="Y846" s="471" t="e">
        <f t="shared" si="1022"/>
        <v>#REF!</v>
      </c>
      <c r="Z846" s="471"/>
      <c r="AA846" s="471"/>
    </row>
    <row r="847" spans="1:40" s="470" customFormat="1" ht="15.75" customHeight="1" x14ac:dyDescent="0.15">
      <c r="B847" s="95"/>
      <c r="C847" s="140"/>
      <c r="D847" s="95"/>
      <c r="E847" s="141"/>
      <c r="F847" s="94"/>
      <c r="G847" s="505"/>
      <c r="H847" s="463" t="str">
        <f t="shared" si="975"/>
        <v/>
      </c>
      <c r="I847" s="451"/>
      <c r="J847" s="506"/>
      <c r="K847" s="507"/>
      <c r="L847" s="506"/>
      <c r="M847" s="507"/>
      <c r="N847" s="507"/>
      <c r="O847" s="507"/>
      <c r="P847" s="508"/>
      <c r="Q847" s="512"/>
      <c r="R847" s="534"/>
      <c r="S847" s="131"/>
      <c r="T847" s="470" t="str">
        <f t="shared" si="981"/>
        <v/>
      </c>
      <c r="V847" s="549"/>
      <c r="W847" s="471">
        <f t="shared" ref="W847:X847" si="1025">W846</f>
        <v>33</v>
      </c>
      <c r="X847" s="471" t="e">
        <f t="shared" si="1025"/>
        <v>#REF!</v>
      </c>
      <c r="Y847" s="471" t="e">
        <f t="shared" si="1001"/>
        <v>#REF!</v>
      </c>
      <c r="Z847" s="471"/>
      <c r="AA847" s="471"/>
    </row>
    <row r="848" spans="1:40" s="470" customFormat="1" ht="15.75" customHeight="1" x14ac:dyDescent="0.15">
      <c r="B848" s="95"/>
      <c r="C848" s="140"/>
      <c r="D848" s="95"/>
      <c r="E848" s="141"/>
      <c r="F848" s="94"/>
      <c r="G848" s="505"/>
      <c r="H848" s="463" t="str">
        <f t="shared" si="975"/>
        <v/>
      </c>
      <c r="I848" s="451"/>
      <c r="J848" s="506"/>
      <c r="K848" s="507"/>
      <c r="L848" s="506"/>
      <c r="M848" s="507"/>
      <c r="N848" s="507"/>
      <c r="O848" s="507"/>
      <c r="P848" s="508"/>
      <c r="Q848" s="512"/>
      <c r="R848" s="534"/>
      <c r="S848" s="131"/>
      <c r="T848" s="470" t="str">
        <f t="shared" si="981"/>
        <v/>
      </c>
      <c r="V848" s="549"/>
      <c r="W848" s="471">
        <f t="shared" ref="W848:X848" si="1026">W847</f>
        <v>33</v>
      </c>
      <c r="X848" s="471" t="e">
        <f t="shared" si="1026"/>
        <v>#REF!</v>
      </c>
      <c r="Y848" s="471" t="e">
        <f t="shared" si="1001"/>
        <v>#REF!</v>
      </c>
      <c r="Z848" s="471"/>
      <c r="AA848" s="471"/>
    </row>
    <row r="849" spans="1:40" s="470" customFormat="1" ht="15.75" customHeight="1" x14ac:dyDescent="0.15">
      <c r="B849" s="95"/>
      <c r="C849" s="140"/>
      <c r="D849" s="95"/>
      <c r="E849" s="141"/>
      <c r="F849" s="94"/>
      <c r="G849" s="505"/>
      <c r="H849" s="463" t="str">
        <f t="shared" si="975"/>
        <v/>
      </c>
      <c r="I849" s="451"/>
      <c r="J849" s="506"/>
      <c r="K849" s="507"/>
      <c r="L849" s="506"/>
      <c r="M849" s="507"/>
      <c r="N849" s="507"/>
      <c r="O849" s="507"/>
      <c r="P849" s="508"/>
      <c r="Q849" s="512"/>
      <c r="R849" s="534"/>
      <c r="S849" s="131"/>
      <c r="T849" s="470" t="str">
        <f t="shared" si="981"/>
        <v/>
      </c>
      <c r="V849" s="549"/>
      <c r="W849" s="471">
        <f t="shared" ref="W849:X849" si="1027">W848</f>
        <v>33</v>
      </c>
      <c r="X849" s="471" t="e">
        <f t="shared" si="1027"/>
        <v>#REF!</v>
      </c>
      <c r="Y849" s="471" t="e">
        <f t="shared" si="1001"/>
        <v>#REF!</v>
      </c>
      <c r="Z849" s="471"/>
      <c r="AA849" s="471"/>
    </row>
    <row r="850" spans="1:40" s="470" customFormat="1" ht="15.75" customHeight="1" x14ac:dyDescent="0.15">
      <c r="B850" s="95"/>
      <c r="C850" s="140"/>
      <c r="D850" s="95"/>
      <c r="E850" s="141"/>
      <c r="F850" s="94"/>
      <c r="G850" s="505"/>
      <c r="H850" s="463" t="str">
        <f t="shared" si="975"/>
        <v/>
      </c>
      <c r="I850" s="451"/>
      <c r="J850" s="506"/>
      <c r="K850" s="507"/>
      <c r="L850" s="506"/>
      <c r="M850" s="507"/>
      <c r="N850" s="507"/>
      <c r="O850" s="507"/>
      <c r="P850" s="508"/>
      <c r="Q850" s="512"/>
      <c r="R850" s="534"/>
      <c r="S850" s="131"/>
      <c r="T850" s="470" t="str">
        <f t="shared" si="981"/>
        <v/>
      </c>
      <c r="V850" s="549"/>
      <c r="W850" s="471">
        <f t="shared" ref="W850:X850" si="1028">W849</f>
        <v>33</v>
      </c>
      <c r="X850" s="471" t="e">
        <f t="shared" si="1028"/>
        <v>#REF!</v>
      </c>
      <c r="Y850" s="471" t="e">
        <f t="shared" si="1001"/>
        <v>#REF!</v>
      </c>
      <c r="Z850" s="471"/>
      <c r="AA850" s="471"/>
    </row>
    <row r="851" spans="1:40" s="470" customFormat="1" ht="15.75" customHeight="1" x14ac:dyDescent="0.15">
      <c r="B851" s="95"/>
      <c r="C851" s="140"/>
      <c r="D851" s="95"/>
      <c r="E851" s="141"/>
      <c r="F851" s="94"/>
      <c r="G851" s="505"/>
      <c r="H851" s="463" t="str">
        <f t="shared" si="975"/>
        <v/>
      </c>
      <c r="I851" s="451"/>
      <c r="J851" s="506"/>
      <c r="K851" s="507"/>
      <c r="L851" s="506"/>
      <c r="M851" s="507"/>
      <c r="N851" s="507"/>
      <c r="O851" s="507"/>
      <c r="P851" s="508"/>
      <c r="Q851" s="512"/>
      <c r="R851" s="534"/>
      <c r="S851" s="131"/>
      <c r="T851" s="470" t="str">
        <f t="shared" si="981"/>
        <v/>
      </c>
      <c r="V851" s="549"/>
      <c r="W851" s="471">
        <f t="shared" ref="W851:X851" si="1029">W850</f>
        <v>33</v>
      </c>
      <c r="X851" s="471" t="e">
        <f t="shared" si="1029"/>
        <v>#REF!</v>
      </c>
      <c r="Y851" s="471" t="e">
        <f t="shared" si="1001"/>
        <v>#REF!</v>
      </c>
      <c r="Z851" s="471"/>
      <c r="AA851" s="471"/>
    </row>
    <row r="852" spans="1:40" s="470" customFormat="1" ht="15.75" customHeight="1" x14ac:dyDescent="0.15">
      <c r="B852" s="95"/>
      <c r="C852" s="140"/>
      <c r="D852" s="95"/>
      <c r="E852" s="141"/>
      <c r="F852" s="94"/>
      <c r="G852" s="505"/>
      <c r="H852" s="463" t="str">
        <f t="shared" si="975"/>
        <v/>
      </c>
      <c r="I852" s="451"/>
      <c r="J852" s="506"/>
      <c r="K852" s="507"/>
      <c r="L852" s="506"/>
      <c r="M852" s="507"/>
      <c r="N852" s="507"/>
      <c r="O852" s="507"/>
      <c r="P852" s="508"/>
      <c r="Q852" s="512"/>
      <c r="R852" s="534"/>
      <c r="S852" s="131"/>
      <c r="T852" s="470" t="str">
        <f t="shared" si="981"/>
        <v/>
      </c>
      <c r="V852" s="549"/>
      <c r="W852" s="471">
        <f t="shared" ref="W852:X852" si="1030">W851</f>
        <v>33</v>
      </c>
      <c r="X852" s="471" t="e">
        <f t="shared" si="1030"/>
        <v>#REF!</v>
      </c>
      <c r="Y852" s="471" t="e">
        <f t="shared" si="1001"/>
        <v>#REF!</v>
      </c>
      <c r="Z852" s="471"/>
      <c r="AA852" s="471"/>
    </row>
    <row r="853" spans="1:40" s="470" customFormat="1" ht="15.75" customHeight="1" x14ac:dyDescent="0.15">
      <c r="B853" s="95"/>
      <c r="C853" s="140"/>
      <c r="D853" s="95"/>
      <c r="E853" s="141"/>
      <c r="F853" s="94"/>
      <c r="G853" s="505"/>
      <c r="H853" s="463" t="str">
        <f t="shared" si="975"/>
        <v/>
      </c>
      <c r="I853" s="451"/>
      <c r="J853" s="506"/>
      <c r="K853" s="507"/>
      <c r="L853" s="506"/>
      <c r="M853" s="507"/>
      <c r="N853" s="507"/>
      <c r="O853" s="507"/>
      <c r="P853" s="508"/>
      <c r="Q853" s="512"/>
      <c r="R853" s="534"/>
      <c r="S853" s="131"/>
      <c r="T853" s="470" t="str">
        <f t="shared" si="981"/>
        <v/>
      </c>
      <c r="V853" s="549"/>
      <c r="W853" s="471">
        <f t="shared" ref="W853:X853" si="1031">W852</f>
        <v>33</v>
      </c>
      <c r="X853" s="471" t="e">
        <f t="shared" si="1031"/>
        <v>#REF!</v>
      </c>
      <c r="Y853" s="471" t="e">
        <f t="shared" si="1001"/>
        <v>#REF!</v>
      </c>
      <c r="Z853" s="471"/>
      <c r="AA853" s="471"/>
    </row>
    <row r="854" spans="1:40" s="470" customFormat="1" ht="15.75" customHeight="1" x14ac:dyDescent="0.15">
      <c r="B854" s="95"/>
      <c r="C854" s="140"/>
      <c r="D854" s="95"/>
      <c r="E854" s="141"/>
      <c r="F854" s="94"/>
      <c r="G854" s="505"/>
      <c r="H854" s="463" t="str">
        <f t="shared" si="975"/>
        <v/>
      </c>
      <c r="I854" s="451"/>
      <c r="J854" s="506"/>
      <c r="K854" s="507"/>
      <c r="L854" s="506"/>
      <c r="M854" s="507"/>
      <c r="N854" s="507"/>
      <c r="O854" s="507"/>
      <c r="P854" s="508"/>
      <c r="Q854" s="512"/>
      <c r="R854" s="534"/>
      <c r="S854" s="131"/>
      <c r="T854" s="470" t="str">
        <f t="shared" si="981"/>
        <v/>
      </c>
      <c r="V854" s="549"/>
      <c r="W854" s="471">
        <f t="shared" ref="W854:X854" si="1032">W853</f>
        <v>33</v>
      </c>
      <c r="X854" s="471" t="e">
        <f t="shared" si="1032"/>
        <v>#REF!</v>
      </c>
      <c r="Y854" s="471" t="e">
        <f t="shared" si="1001"/>
        <v>#REF!</v>
      </c>
      <c r="Z854" s="471"/>
      <c r="AA854" s="471"/>
    </row>
    <row r="855" spans="1:40" s="470" customFormat="1" ht="15.75" customHeight="1" x14ac:dyDescent="0.15">
      <c r="B855" s="95"/>
      <c r="C855" s="140"/>
      <c r="D855" s="95"/>
      <c r="E855" s="141"/>
      <c r="F855" s="94"/>
      <c r="G855" s="505"/>
      <c r="H855" s="463" t="str">
        <f>CONCATENATE(C855,E855,F855)</f>
        <v/>
      </c>
      <c r="I855" s="451"/>
      <c r="J855" s="506"/>
      <c r="K855" s="507"/>
      <c r="L855" s="506"/>
      <c r="M855" s="507"/>
      <c r="N855" s="507"/>
      <c r="O855" s="507"/>
      <c r="P855" s="508"/>
      <c r="Q855" s="512"/>
      <c r="R855" s="513"/>
      <c r="S855" s="131"/>
      <c r="T855" s="470" t="str">
        <f t="shared" si="981"/>
        <v/>
      </c>
      <c r="V855" s="549"/>
      <c r="W855" s="471">
        <f t="shared" ref="W855:X855" si="1033">W854</f>
        <v>33</v>
      </c>
      <c r="X855" s="471" t="e">
        <f t="shared" si="1033"/>
        <v>#REF!</v>
      </c>
      <c r="Y855" s="471" t="e">
        <f t="shared" si="1001"/>
        <v>#REF!</v>
      </c>
      <c r="Z855" s="471"/>
      <c r="AA855" s="471"/>
    </row>
    <row r="856" spans="1:40" s="470" customFormat="1" ht="15.75" customHeight="1" x14ac:dyDescent="0.15">
      <c r="B856" s="514" t="s">
        <v>763</v>
      </c>
      <c r="C856" s="515"/>
      <c r="D856" s="516"/>
      <c r="E856" s="517"/>
      <c r="F856" s="518"/>
      <c r="G856" s="519"/>
      <c r="H856" s="463" t="str">
        <f>CONCATENATE(C856,E856,F856)</f>
        <v/>
      </c>
      <c r="I856" s="520">
        <f>목록!$B$39</f>
        <v>33</v>
      </c>
      <c r="J856" s="521"/>
      <c r="K856" s="522">
        <f>SUM(K842:K855)</f>
        <v>169950</v>
      </c>
      <c r="L856" s="521"/>
      <c r="M856" s="522">
        <f>SUM(M842:M855)</f>
        <v>159000</v>
      </c>
      <c r="N856" s="521"/>
      <c r="O856" s="522">
        <f>SUM(O842:O855)</f>
        <v>0</v>
      </c>
      <c r="P856" s="523"/>
      <c r="Q856" s="512"/>
      <c r="R856" s="513"/>
      <c r="S856" s="524"/>
      <c r="T856" s="470" t="str">
        <f t="shared" si="981"/>
        <v/>
      </c>
      <c r="V856" s="549"/>
      <c r="W856" s="471">
        <f t="shared" ref="W856:X856" si="1034">W855</f>
        <v>33</v>
      </c>
      <c r="X856" s="471" t="e">
        <f t="shared" si="1034"/>
        <v>#REF!</v>
      </c>
      <c r="Y856" s="471" t="e">
        <f t="shared" si="1001"/>
        <v>#REF!</v>
      </c>
      <c r="Z856" s="471"/>
      <c r="AA856" s="471"/>
    </row>
    <row r="857" spans="1:40" s="470" customFormat="1" ht="15.75" customHeight="1" x14ac:dyDescent="0.15">
      <c r="B857" s="453"/>
      <c r="C857" s="630"/>
      <c r="D857" s="95"/>
      <c r="E857" s="141"/>
      <c r="F857" s="94"/>
      <c r="G857" s="505"/>
      <c r="H857" s="463" t="str">
        <f>CONCATENATE(C857,E857,F857)</f>
        <v/>
      </c>
      <c r="I857" s="451"/>
      <c r="J857" s="506"/>
      <c r="K857" s="507"/>
      <c r="L857" s="506"/>
      <c r="M857" s="507"/>
      <c r="N857" s="507"/>
      <c r="O857" s="507"/>
      <c r="P857" s="508"/>
      <c r="Q857" s="512"/>
      <c r="R857" s="513"/>
      <c r="S857" s="131"/>
      <c r="T857" s="470" t="str">
        <f t="shared" si="981"/>
        <v/>
      </c>
      <c r="V857" s="549"/>
      <c r="W857" s="615">
        <f t="shared" ref="W857:X857" si="1035">W856</f>
        <v>33</v>
      </c>
      <c r="X857" s="471" t="e">
        <f t="shared" si="1035"/>
        <v>#REF!</v>
      </c>
      <c r="Y857" s="471" t="e">
        <f t="shared" si="1001"/>
        <v>#REF!</v>
      </c>
      <c r="Z857" s="471"/>
      <c r="AA857" s="471"/>
    </row>
    <row r="858" spans="1:40" s="470" customFormat="1" ht="15.75" customHeight="1" x14ac:dyDescent="0.15">
      <c r="A858" s="457"/>
      <c r="B858" s="453"/>
      <c r="C858" s="630" t="s">
        <v>1280</v>
      </c>
      <c r="D858" s="95"/>
      <c r="E858" s="141"/>
      <c r="F858" s="94"/>
      <c r="G858" s="505"/>
      <c r="H858" s="463" t="str">
        <f>CONCATENATE(C858,E858,F858)</f>
        <v>※ 거래실례가격 참조 (물가자료 492P)</v>
      </c>
      <c r="I858" s="451"/>
      <c r="J858" s="506"/>
      <c r="K858" s="507"/>
      <c r="L858" s="506"/>
      <c r="M858" s="507"/>
      <c r="N858" s="507"/>
      <c r="O858" s="507"/>
      <c r="P858" s="508"/>
      <c r="Q858" s="512"/>
      <c r="R858" s="513"/>
      <c r="S858" s="131"/>
      <c r="T858" s="470" t="str">
        <f t="shared" si="981"/>
        <v/>
      </c>
      <c r="V858" s="551"/>
      <c r="W858" s="471">
        <f t="shared" ref="W858:X858" si="1036">W857</f>
        <v>33</v>
      </c>
      <c r="X858" s="471" t="e">
        <f t="shared" si="1036"/>
        <v>#REF!</v>
      </c>
      <c r="Y858" s="471" t="e">
        <f t="shared" si="1001"/>
        <v>#REF!</v>
      </c>
      <c r="Z858" s="471"/>
      <c r="AA858" s="471"/>
    </row>
    <row r="859" spans="1:40" s="470" customFormat="1" ht="15.75" customHeight="1" x14ac:dyDescent="0.15">
      <c r="B859" s="514"/>
      <c r="C859" s="515"/>
      <c r="D859" s="516"/>
      <c r="E859" s="517"/>
      <c r="F859" s="518"/>
      <c r="G859" s="519"/>
      <c r="H859" s="463" t="str">
        <f>CONCATENATE(C859,E859,F859)</f>
        <v/>
      </c>
      <c r="I859" s="520"/>
      <c r="J859" s="521"/>
      <c r="K859" s="522"/>
      <c r="L859" s="521"/>
      <c r="M859" s="522"/>
      <c r="N859" s="521"/>
      <c r="O859" s="522"/>
      <c r="P859" s="523"/>
      <c r="Q859" s="512"/>
      <c r="R859" s="513"/>
      <c r="S859" s="524"/>
      <c r="T859" s="470" t="str">
        <f t="shared" si="981"/>
        <v/>
      </c>
      <c r="U859" s="457"/>
      <c r="W859" s="471">
        <f t="shared" ref="W859:X859" si="1037">W858</f>
        <v>33</v>
      </c>
      <c r="X859" s="471" t="e">
        <f t="shared" si="1037"/>
        <v>#REF!</v>
      </c>
      <c r="Y859" s="471" t="e">
        <f t="shared" si="1001"/>
        <v>#REF!</v>
      </c>
      <c r="Z859" s="471"/>
      <c r="AA859" s="471"/>
      <c r="AB859" s="457"/>
      <c r="AC859" s="457"/>
      <c r="AD859" s="457"/>
      <c r="AE859" s="457"/>
      <c r="AF859" s="457"/>
      <c r="AG859" s="457"/>
      <c r="AH859" s="457"/>
      <c r="AI859" s="457"/>
      <c r="AJ859" s="457"/>
      <c r="AK859" s="457"/>
      <c r="AL859" s="457"/>
      <c r="AM859" s="457"/>
      <c r="AN859" s="457"/>
    </row>
    <row r="860" spans="1:40" s="457" customFormat="1" ht="15.75" customHeight="1" x14ac:dyDescent="0.15">
      <c r="A860" s="470"/>
      <c r="C860" s="458"/>
      <c r="D860" s="459"/>
      <c r="E860" s="460"/>
      <c r="F860" s="461"/>
      <c r="G860" s="462"/>
      <c r="H860" s="463" t="str">
        <f t="shared" ref="H860:H885" si="1038">CONCATENATE(C860,E860,F860)</f>
        <v/>
      </c>
      <c r="I860" s="464"/>
      <c r="J860" s="465"/>
      <c r="K860" s="465"/>
      <c r="L860" s="465"/>
      <c r="M860" s="465"/>
      <c r="N860" s="465"/>
      <c r="O860" s="466"/>
      <c r="P860" s="467"/>
      <c r="Q860" s="468"/>
      <c r="R860" s="469"/>
      <c r="S860" s="467"/>
      <c r="T860" s="470" t="str">
        <f t="shared" ref="T860:T883" si="1039">CONCATENATE(Q860,R860)</f>
        <v/>
      </c>
      <c r="U860" s="470"/>
      <c r="V860" s="470"/>
      <c r="W860" s="533">
        <f t="shared" ref="W860" si="1040">I882</f>
        <v>34</v>
      </c>
      <c r="X860" s="533" t="e">
        <f>#REF!+1</f>
        <v>#REF!</v>
      </c>
      <c r="Y860" s="533" t="e">
        <f t="shared" si="1001"/>
        <v>#REF!</v>
      </c>
      <c r="Z860" s="533"/>
      <c r="AA860" s="533"/>
      <c r="AB860" s="470"/>
      <c r="AC860" s="470"/>
      <c r="AD860" s="470"/>
      <c r="AE860" s="470"/>
      <c r="AF860" s="470"/>
      <c r="AG860" s="470"/>
      <c r="AH860" s="470"/>
      <c r="AI860" s="470"/>
      <c r="AJ860" s="470"/>
      <c r="AK860" s="470"/>
      <c r="AL860" s="470"/>
      <c r="AM860" s="470"/>
      <c r="AN860" s="470"/>
    </row>
    <row r="861" spans="1:40" s="470" customFormat="1" ht="15.75" customHeight="1" x14ac:dyDescent="0.15">
      <c r="A861" s="457"/>
      <c r="B861" s="473"/>
      <c r="C861" s="474" t="str">
        <f>"   항목번호 : "&amp;목록!L$40</f>
        <v xml:space="preserve">   항목번호 : 제34호표</v>
      </c>
      <c r="D861" s="475" t="e">
        <f>목록!#REF!</f>
        <v>#REF!</v>
      </c>
      <c r="E861" s="476"/>
      <c r="F861" s="477"/>
      <c r="G861" s="478"/>
      <c r="H861" s="463" t="str">
        <f t="shared" si="1038"/>
        <v xml:space="preserve">   항목번호 : 제34호표</v>
      </c>
      <c r="I861" s="479"/>
      <c r="J861" s="480"/>
      <c r="K861" s="481"/>
      <c r="L861" s="482"/>
      <c r="M861" s="482"/>
      <c r="N861" s="482"/>
      <c r="O861" s="466"/>
      <c r="P861" s="483"/>
      <c r="Q861" s="484"/>
      <c r="R861" s="485"/>
      <c r="S861" s="483"/>
      <c r="T861" s="470" t="str">
        <f t="shared" si="1039"/>
        <v/>
      </c>
      <c r="V861" s="551"/>
      <c r="W861" s="471">
        <f t="shared" ref="W861:X861" si="1041">W860</f>
        <v>34</v>
      </c>
      <c r="X861" s="471" t="e">
        <f t="shared" si="1041"/>
        <v>#REF!</v>
      </c>
      <c r="Y861" s="471" t="e">
        <f t="shared" si="1001"/>
        <v>#REF!</v>
      </c>
      <c r="Z861" s="471"/>
      <c r="AA861" s="471"/>
    </row>
    <row r="862" spans="1:40" s="470" customFormat="1" ht="15.75" customHeight="1" x14ac:dyDescent="0.15">
      <c r="A862" s="457"/>
      <c r="B862" s="473"/>
      <c r="C862" s="474" t="str">
        <f>"   공      종 : "&amp;목록!D$40</f>
        <v xml:space="preserve">   공      종 : 인테리어 필름 붙임</v>
      </c>
      <c r="D862" s="484"/>
      <c r="E862" s="476"/>
      <c r="F862" s="473"/>
      <c r="G862" s="478"/>
      <c r="H862" s="463" t="str">
        <f t="shared" si="1038"/>
        <v xml:space="preserve">   공      종 : 인테리어 필름 붙임</v>
      </c>
      <c r="I862" s="479"/>
      <c r="J862" s="480"/>
      <c r="K862" s="481"/>
      <c r="L862" s="482"/>
      <c r="M862" s="482"/>
      <c r="N862" s="482"/>
      <c r="O862" s="466"/>
      <c r="P862" s="483"/>
      <c r="Q862" s="484"/>
      <c r="R862" s="485"/>
      <c r="S862" s="483"/>
      <c r="T862" s="470" t="str">
        <f t="shared" si="1039"/>
        <v/>
      </c>
      <c r="U862" s="457"/>
      <c r="W862" s="471">
        <f t="shared" ref="W862:X862" si="1042">W861</f>
        <v>34</v>
      </c>
      <c r="X862" s="471" t="e">
        <f t="shared" si="1042"/>
        <v>#REF!</v>
      </c>
      <c r="Y862" s="471" t="e">
        <f t="shared" si="1001"/>
        <v>#REF!</v>
      </c>
      <c r="Z862" s="471"/>
      <c r="AA862" s="471"/>
      <c r="AB862" s="457"/>
      <c r="AC862" s="457"/>
      <c r="AD862" s="457"/>
      <c r="AE862" s="457"/>
      <c r="AF862" s="457"/>
      <c r="AG862" s="457"/>
      <c r="AH862" s="457"/>
      <c r="AI862" s="457"/>
      <c r="AJ862" s="457"/>
      <c r="AK862" s="457"/>
      <c r="AL862" s="457"/>
      <c r="AM862" s="457"/>
      <c r="AN862" s="457"/>
    </row>
    <row r="863" spans="1:40" s="457" customFormat="1" ht="15.75" customHeight="1" x14ac:dyDescent="0.15">
      <c r="B863" s="473"/>
      <c r="C863" s="474" t="str">
        <f xml:space="preserve"> "   규      격 : "&amp;목록!F$40</f>
        <v xml:space="preserve">   규      격 : 몰딩,프레임, W=400미만</v>
      </c>
      <c r="D863" s="484"/>
      <c r="E863" s="476"/>
      <c r="F863" s="473"/>
      <c r="G863" s="478"/>
      <c r="H863" s="463" t="str">
        <f t="shared" si="1038"/>
        <v xml:space="preserve">   규      격 : 몰딩,프레임, W=400미만</v>
      </c>
      <c r="I863" s="479"/>
      <c r="J863" s="480" t="s">
        <v>348</v>
      </c>
      <c r="K863" s="481"/>
      <c r="L863" s="482" t="s">
        <v>349</v>
      </c>
      <c r="M863" s="482"/>
      <c r="N863" s="482" t="s">
        <v>240</v>
      </c>
      <c r="O863" s="466"/>
      <c r="P863" s="483"/>
      <c r="Q863" s="484" t="s">
        <v>723</v>
      </c>
      <c r="R863" s="484"/>
      <c r="S863" s="483"/>
      <c r="T863" s="470" t="str">
        <f t="shared" si="1039"/>
        <v>합계</v>
      </c>
      <c r="V863" s="470"/>
      <c r="W863" s="471">
        <f t="shared" ref="W863:X863" si="1043">W862</f>
        <v>34</v>
      </c>
      <c r="X863" s="471" t="e">
        <f t="shared" si="1043"/>
        <v>#REF!</v>
      </c>
      <c r="Y863" s="471" t="e">
        <f t="shared" si="1001"/>
        <v>#REF!</v>
      </c>
      <c r="Z863" s="471"/>
      <c r="AA863" s="471"/>
    </row>
    <row r="864" spans="1:40" s="457" customFormat="1" ht="15.75" customHeight="1" x14ac:dyDescent="0.15">
      <c r="B864" s="473"/>
      <c r="C864" s="474" t="str">
        <f>"   단      위 : "&amp;목록!G$40</f>
        <v xml:space="preserve">   단      위 : ㎡</v>
      </c>
      <c r="D864" s="484"/>
      <c r="E864" s="476"/>
      <c r="F864" s="473"/>
      <c r="G864" s="478"/>
      <c r="H864" s="463" t="str">
        <f t="shared" si="1038"/>
        <v xml:space="preserve">   단      위 : ㎡</v>
      </c>
      <c r="I864" s="479"/>
      <c r="J864" s="486">
        <f>K882</f>
        <v>47262</v>
      </c>
      <c r="K864" s="481"/>
      <c r="L864" s="487">
        <f>M882</f>
        <v>6271</v>
      </c>
      <c r="M864" s="482"/>
      <c r="N864" s="482">
        <f>O882</f>
        <v>0</v>
      </c>
      <c r="O864" s="466"/>
      <c r="P864" s="483"/>
      <c r="Q864" s="488">
        <f>J864+L864+N864</f>
        <v>53533</v>
      </c>
      <c r="R864" s="489"/>
      <c r="S864" s="483"/>
      <c r="T864" s="470" t="str">
        <f t="shared" si="1039"/>
        <v>53533</v>
      </c>
      <c r="V864" s="470"/>
      <c r="W864" s="471">
        <f t="shared" ref="W864:X864" si="1044">W863</f>
        <v>34</v>
      </c>
      <c r="X864" s="471" t="e">
        <f t="shared" si="1044"/>
        <v>#REF!</v>
      </c>
      <c r="Y864" s="471" t="e">
        <f t="shared" si="1001"/>
        <v>#REF!</v>
      </c>
      <c r="Z864" s="471"/>
      <c r="AA864" s="471"/>
    </row>
    <row r="865" spans="1:40" s="457" customFormat="1" ht="15.75" customHeight="1" x14ac:dyDescent="0.15">
      <c r="B865" s="473"/>
      <c r="C865" s="474"/>
      <c r="D865" s="484"/>
      <c r="E865" s="476"/>
      <c r="F865" s="473"/>
      <c r="G865" s="490"/>
      <c r="H865" s="463" t="str">
        <f t="shared" si="1038"/>
        <v/>
      </c>
      <c r="I865" s="491"/>
      <c r="J865" s="482"/>
      <c r="K865" s="465"/>
      <c r="L865" s="482"/>
      <c r="M865" s="482"/>
      <c r="N865" s="482"/>
      <c r="O865" s="466"/>
      <c r="P865" s="492"/>
      <c r="Q865" s="493"/>
      <c r="R865" s="485"/>
      <c r="S865" s="492"/>
      <c r="T865" s="470" t="str">
        <f t="shared" si="1039"/>
        <v/>
      </c>
      <c r="V865" s="470"/>
      <c r="W865" s="471">
        <f t="shared" ref="W865:X865" si="1045">W864</f>
        <v>34</v>
      </c>
      <c r="X865" s="471" t="e">
        <f t="shared" si="1045"/>
        <v>#REF!</v>
      </c>
      <c r="Y865" s="471" t="e">
        <f t="shared" ref="Y865:Y911" si="1046">X865-W865</f>
        <v>#REF!</v>
      </c>
      <c r="Z865" s="471"/>
      <c r="AA865" s="471"/>
    </row>
    <row r="866" spans="1:40" s="457" customFormat="1" ht="15.75" customHeight="1" x14ac:dyDescent="0.15">
      <c r="B866" s="899" t="s">
        <v>375</v>
      </c>
      <c r="C866" s="900"/>
      <c r="D866" s="907" t="s">
        <v>356</v>
      </c>
      <c r="E866" s="908"/>
      <c r="F866" s="903" t="s">
        <v>588</v>
      </c>
      <c r="G866" s="913" t="s">
        <v>589</v>
      </c>
      <c r="H866" s="463" t="str">
        <f t="shared" si="1038"/>
        <v>단위</v>
      </c>
      <c r="I866" s="621"/>
      <c r="J866" s="495" t="s">
        <v>348</v>
      </c>
      <c r="K866" s="496"/>
      <c r="L866" s="495" t="s">
        <v>349</v>
      </c>
      <c r="M866" s="496"/>
      <c r="N866" s="497" t="s">
        <v>240</v>
      </c>
      <c r="O866" s="497"/>
      <c r="P866" s="498"/>
      <c r="Q866" s="744" t="s">
        <v>355</v>
      </c>
      <c r="R866" s="744"/>
      <c r="S866" s="499"/>
      <c r="T866" s="470" t="str">
        <f t="shared" si="1039"/>
        <v>비  고</v>
      </c>
      <c r="V866" s="470"/>
      <c r="W866" s="471">
        <f t="shared" ref="W866:X866" si="1047">W865</f>
        <v>34</v>
      </c>
      <c r="X866" s="471" t="e">
        <f t="shared" si="1047"/>
        <v>#REF!</v>
      </c>
      <c r="Y866" s="471" t="e">
        <f t="shared" si="1046"/>
        <v>#REF!</v>
      </c>
      <c r="Z866" s="471"/>
      <c r="AA866" s="471"/>
    </row>
    <row r="867" spans="1:40" s="457" customFormat="1" ht="15.75" customHeight="1" x14ac:dyDescent="0.15">
      <c r="B867" s="901"/>
      <c r="C867" s="902"/>
      <c r="D867" s="909"/>
      <c r="E867" s="910"/>
      <c r="F867" s="904"/>
      <c r="G867" s="914"/>
      <c r="H867" s="463" t="str">
        <f t="shared" si="1038"/>
        <v/>
      </c>
      <c r="I867" s="622"/>
      <c r="J867" s="501" t="s">
        <v>353</v>
      </c>
      <c r="K867" s="501" t="s">
        <v>354</v>
      </c>
      <c r="L867" s="501" t="s">
        <v>353</v>
      </c>
      <c r="M867" s="620" t="s">
        <v>354</v>
      </c>
      <c r="N867" s="501" t="s">
        <v>353</v>
      </c>
      <c r="O867" s="501" t="s">
        <v>354</v>
      </c>
      <c r="P867" s="503"/>
      <c r="Q867" s="745"/>
      <c r="R867" s="745"/>
      <c r="S867" s="504"/>
      <c r="T867" s="470" t="str">
        <f t="shared" si="1039"/>
        <v/>
      </c>
      <c r="V867" s="470"/>
      <c r="W867" s="471">
        <f t="shared" ref="W867:X867" si="1048">W866</f>
        <v>34</v>
      </c>
      <c r="X867" s="471" t="e">
        <f t="shared" si="1048"/>
        <v>#REF!</v>
      </c>
      <c r="Y867" s="471" t="e">
        <f t="shared" si="1046"/>
        <v>#REF!</v>
      </c>
      <c r="Z867" s="471"/>
      <c r="AA867" s="471"/>
    </row>
    <row r="868" spans="1:40" s="457" customFormat="1" ht="15.75" customHeight="1" x14ac:dyDescent="0.15">
      <c r="A868" s="547"/>
      <c r="B868" s="95"/>
      <c r="C868" s="164" t="s">
        <v>602</v>
      </c>
      <c r="D868" s="165"/>
      <c r="E868" s="164" t="s">
        <v>971</v>
      </c>
      <c r="F868" s="455" t="s">
        <v>350</v>
      </c>
      <c r="G868" s="505">
        <v>1.3</v>
      </c>
      <c r="H868" s="505" t="str">
        <f t="shared" si="1038"/>
        <v>인테리어필름0.40*1220 방염우드㎡</v>
      </c>
      <c r="I868" s="94" t="str">
        <f>CONCATENATE(C868,E868,F868)</f>
        <v>인테리어필름0.40*1220 방염우드㎡</v>
      </c>
      <c r="J868" s="506">
        <f>IF(OR($F868="인",$F868=""),"",VLOOKUP($H868,단가!$A:$S,19,FALSE))</f>
        <v>35000</v>
      </c>
      <c r="K868" s="507">
        <f>IF(J868="","",TRUNC($G868*J868,0))</f>
        <v>45500</v>
      </c>
      <c r="L868" s="506" t="str">
        <f>IF($F868="인",VLOOKUP($C:$C,노임!$C:$G,4,FALSE),"")</f>
        <v/>
      </c>
      <c r="M868" s="507" t="str">
        <f>IF(L868="","",TRUNC($G868*L868,0))</f>
        <v/>
      </c>
      <c r="N868" s="507"/>
      <c r="O868" s="507" t="str">
        <f>IF(N868="","",TRUNC($G868*N868,0))</f>
        <v/>
      </c>
      <c r="P868" s="508"/>
      <c r="Q868" s="509" t="str">
        <f>IF(F868="인","노임"&amp;VLOOKUP($C:$C,노임!C:G,5,FALSE)&amp;"번","단가"&amp;VLOOKUP($H:$H,단가!$A:$B,2,FALSE)&amp;"번")</f>
        <v>단가53번</v>
      </c>
      <c r="R868" s="510"/>
      <c r="S868" s="131"/>
      <c r="T868" s="470" t="str">
        <f t="shared" si="1039"/>
        <v>단가53번</v>
      </c>
      <c r="V868" s="470"/>
      <c r="W868" s="471">
        <f t="shared" ref="W868:X868" si="1049">W867</f>
        <v>34</v>
      </c>
      <c r="X868" s="471" t="e">
        <f t="shared" si="1049"/>
        <v>#REF!</v>
      </c>
      <c r="Y868" s="471" t="e">
        <f t="shared" si="1046"/>
        <v>#REF!</v>
      </c>
      <c r="Z868" s="471"/>
      <c r="AA868" s="471"/>
    </row>
    <row r="869" spans="1:40" s="457" customFormat="1" ht="15.75" customHeight="1" x14ac:dyDescent="0.15">
      <c r="A869" s="547"/>
      <c r="B869" s="95"/>
      <c r="C869" s="98" t="s">
        <v>970</v>
      </c>
      <c r="D869" s="99"/>
      <c r="E869" s="98" t="s">
        <v>744</v>
      </c>
      <c r="F869" s="96" t="s">
        <v>726</v>
      </c>
      <c r="G869" s="505">
        <v>1</v>
      </c>
      <c r="H869" s="463" t="str">
        <f t="shared" si="1038"/>
        <v>LINE PUTTY(벽체)석고보드면, 합판면㎡</v>
      </c>
      <c r="I869" s="451" t="str">
        <f>CONCATENATE(C869,E869,F869)</f>
        <v>LINE PUTTY(벽체)석고보드면, 합판면㎡</v>
      </c>
      <c r="J869" s="506">
        <f>VLOOKUP($H869,목록!$A:$K,8,FALSE)</f>
        <v>1762</v>
      </c>
      <c r="K869" s="507">
        <f>IF(J869="","",TRUNC($G869*J869,0))</f>
        <v>1762</v>
      </c>
      <c r="L869" s="506">
        <f>VLOOKUP($H869,목록!$A:$K,9,FALSE)</f>
        <v>6271</v>
      </c>
      <c r="M869" s="507">
        <f>IF(L869="","",TRUNC($G869*L869,0))</f>
        <v>6271</v>
      </c>
      <c r="N869" s="506" t="str">
        <f>VLOOKUP($H869,목록!$A:$K,10,FALSE)</f>
        <v/>
      </c>
      <c r="O869" s="507" t="str">
        <f>IF(N869="","",TRUNC($G869*N869,0))</f>
        <v/>
      </c>
      <c r="P869" s="508"/>
      <c r="Q869" s="509" t="str">
        <f>"제"&amp;VLOOKUP($H:$H,목록!$A:$B,2,FALSE)&amp;"호표"</f>
        <v>제36호표</v>
      </c>
      <c r="R869" s="550"/>
      <c r="S869" s="131"/>
      <c r="T869" s="470" t="str">
        <f t="shared" si="1039"/>
        <v>제36호표</v>
      </c>
      <c r="V869" s="548"/>
      <c r="W869" s="471">
        <f t="shared" ref="W869:X869" si="1050">W868</f>
        <v>34</v>
      </c>
      <c r="X869" s="471" t="e">
        <f t="shared" si="1050"/>
        <v>#REF!</v>
      </c>
      <c r="Y869" s="471" t="e">
        <f t="shared" si="1046"/>
        <v>#REF!</v>
      </c>
      <c r="Z869" s="471"/>
      <c r="AA869" s="471"/>
    </row>
    <row r="870" spans="1:40" s="457" customFormat="1" ht="15.75" customHeight="1" x14ac:dyDescent="0.15">
      <c r="A870" s="470"/>
      <c r="B870" s="95"/>
      <c r="C870" s="140"/>
      <c r="D870" s="95"/>
      <c r="E870" s="141"/>
      <c r="F870" s="94"/>
      <c r="G870" s="505"/>
      <c r="H870" s="463"/>
      <c r="I870" s="451"/>
      <c r="J870" s="506"/>
      <c r="K870" s="507"/>
      <c r="L870" s="506"/>
      <c r="M870" s="507"/>
      <c r="N870" s="507"/>
      <c r="O870" s="507"/>
      <c r="P870" s="508"/>
      <c r="Q870" s="509"/>
      <c r="R870" s="510"/>
      <c r="S870" s="131"/>
      <c r="T870" s="470" t="str">
        <f t="shared" si="1039"/>
        <v/>
      </c>
      <c r="V870" s="549"/>
      <c r="W870" s="471">
        <f t="shared" ref="W870:X870" si="1051">W869</f>
        <v>34</v>
      </c>
      <c r="X870" s="471" t="e">
        <f t="shared" si="1051"/>
        <v>#REF!</v>
      </c>
      <c r="Y870" s="471" t="e">
        <f t="shared" si="1046"/>
        <v>#REF!</v>
      </c>
      <c r="Z870" s="471"/>
      <c r="AA870" s="471"/>
      <c r="AB870" s="470"/>
    </row>
    <row r="871" spans="1:40" s="457" customFormat="1" ht="15.75" customHeight="1" x14ac:dyDescent="0.15">
      <c r="A871" s="470"/>
      <c r="B871" s="95"/>
      <c r="C871" s="140"/>
      <c r="D871" s="95"/>
      <c r="E871" s="141"/>
      <c r="F871" s="94"/>
      <c r="G871" s="505"/>
      <c r="H871" s="463" t="str">
        <f t="shared" si="1038"/>
        <v/>
      </c>
      <c r="I871" s="451"/>
      <c r="J871" s="506"/>
      <c r="K871" s="507"/>
      <c r="L871" s="506"/>
      <c r="M871" s="507"/>
      <c r="N871" s="507"/>
      <c r="O871" s="507"/>
      <c r="P871" s="508"/>
      <c r="Q871" s="512"/>
      <c r="R871" s="534"/>
      <c r="S871" s="131"/>
      <c r="T871" s="470" t="str">
        <f t="shared" si="1039"/>
        <v/>
      </c>
      <c r="U871" s="470"/>
      <c r="V871" s="470"/>
      <c r="W871" s="471">
        <f t="shared" ref="W871:X871" si="1052">W870</f>
        <v>34</v>
      </c>
      <c r="X871" s="471" t="e">
        <f t="shared" si="1052"/>
        <v>#REF!</v>
      </c>
      <c r="Y871" s="471" t="e">
        <f t="shared" si="1046"/>
        <v>#REF!</v>
      </c>
      <c r="Z871" s="471"/>
      <c r="AA871" s="471"/>
      <c r="AB871" s="470"/>
      <c r="AC871" s="470"/>
      <c r="AD871" s="470"/>
      <c r="AE871" s="470"/>
      <c r="AF871" s="470"/>
      <c r="AG871" s="470"/>
      <c r="AH871" s="470"/>
      <c r="AI871" s="470"/>
      <c r="AJ871" s="470"/>
      <c r="AK871" s="470"/>
      <c r="AL871" s="470"/>
      <c r="AM871" s="470"/>
      <c r="AN871" s="470"/>
    </row>
    <row r="872" spans="1:40" s="470" customFormat="1" ht="15.75" customHeight="1" x14ac:dyDescent="0.15">
      <c r="B872" s="95"/>
      <c r="C872" s="140"/>
      <c r="D872" s="95"/>
      <c r="E872" s="141"/>
      <c r="F872" s="94"/>
      <c r="G872" s="505"/>
      <c r="H872" s="463" t="str">
        <f t="shared" si="1038"/>
        <v/>
      </c>
      <c r="I872" s="451"/>
      <c r="J872" s="506"/>
      <c r="K872" s="507"/>
      <c r="L872" s="506"/>
      <c r="M872" s="507"/>
      <c r="N872" s="507"/>
      <c r="O872" s="507"/>
      <c r="P872" s="508"/>
      <c r="Q872" s="512"/>
      <c r="R872" s="534"/>
      <c r="S872" s="131"/>
      <c r="T872" s="470" t="str">
        <f t="shared" si="1039"/>
        <v/>
      </c>
      <c r="W872" s="471">
        <f t="shared" ref="W872:X872" si="1053">W871</f>
        <v>34</v>
      </c>
      <c r="X872" s="471" t="e">
        <f t="shared" si="1053"/>
        <v>#REF!</v>
      </c>
      <c r="Y872" s="471" t="e">
        <f t="shared" si="1046"/>
        <v>#REF!</v>
      </c>
      <c r="Z872" s="471"/>
      <c r="AA872" s="471"/>
    </row>
    <row r="873" spans="1:40" s="470" customFormat="1" ht="15.75" customHeight="1" x14ac:dyDescent="0.15">
      <c r="B873" s="95"/>
      <c r="C873" s="140"/>
      <c r="D873" s="95"/>
      <c r="E873" s="141"/>
      <c r="F873" s="94"/>
      <c r="G873" s="505"/>
      <c r="H873" s="463" t="str">
        <f t="shared" si="1038"/>
        <v/>
      </c>
      <c r="I873" s="451"/>
      <c r="J873" s="506"/>
      <c r="K873" s="507"/>
      <c r="L873" s="506"/>
      <c r="M873" s="507"/>
      <c r="N873" s="507"/>
      <c r="O873" s="507"/>
      <c r="P873" s="508"/>
      <c r="Q873" s="512"/>
      <c r="R873" s="534"/>
      <c r="S873" s="131"/>
      <c r="T873" s="470" t="str">
        <f t="shared" si="1039"/>
        <v/>
      </c>
      <c r="W873" s="471">
        <f t="shared" ref="W873:X873" si="1054">W872</f>
        <v>34</v>
      </c>
      <c r="X873" s="471" t="e">
        <f t="shared" si="1054"/>
        <v>#REF!</v>
      </c>
      <c r="Y873" s="471" t="e">
        <f t="shared" si="1046"/>
        <v>#REF!</v>
      </c>
      <c r="Z873" s="471"/>
      <c r="AA873" s="471"/>
      <c r="AB873" s="457"/>
    </row>
    <row r="874" spans="1:40" s="470" customFormat="1" ht="15.75" customHeight="1" x14ac:dyDescent="0.15">
      <c r="B874" s="95"/>
      <c r="C874" s="140"/>
      <c r="D874" s="95"/>
      <c r="E874" s="141"/>
      <c r="F874" s="94"/>
      <c r="G874" s="505"/>
      <c r="H874" s="463" t="str">
        <f t="shared" si="1038"/>
        <v/>
      </c>
      <c r="I874" s="451"/>
      <c r="J874" s="506"/>
      <c r="K874" s="507"/>
      <c r="L874" s="506"/>
      <c r="M874" s="507"/>
      <c r="N874" s="507"/>
      <c r="O874" s="507"/>
      <c r="P874" s="508"/>
      <c r="Q874" s="512"/>
      <c r="R874" s="534"/>
      <c r="S874" s="131"/>
      <c r="T874" s="470" t="str">
        <f t="shared" si="1039"/>
        <v/>
      </c>
      <c r="W874" s="471">
        <f t="shared" ref="W874:X874" si="1055">W873</f>
        <v>34</v>
      </c>
      <c r="X874" s="471" t="e">
        <f t="shared" si="1055"/>
        <v>#REF!</v>
      </c>
      <c r="Y874" s="471" t="e">
        <f t="shared" si="1046"/>
        <v>#REF!</v>
      </c>
      <c r="Z874" s="471"/>
      <c r="AA874" s="471"/>
    </row>
    <row r="875" spans="1:40" s="470" customFormat="1" ht="15.75" customHeight="1" x14ac:dyDescent="0.15">
      <c r="B875" s="95"/>
      <c r="C875" s="140"/>
      <c r="D875" s="95"/>
      <c r="E875" s="141"/>
      <c r="F875" s="94"/>
      <c r="G875" s="505"/>
      <c r="H875" s="463" t="str">
        <f t="shared" si="1038"/>
        <v/>
      </c>
      <c r="I875" s="451"/>
      <c r="J875" s="506"/>
      <c r="K875" s="507"/>
      <c r="L875" s="506"/>
      <c r="M875" s="507"/>
      <c r="N875" s="507"/>
      <c r="O875" s="507"/>
      <c r="P875" s="508"/>
      <c r="Q875" s="512"/>
      <c r="R875" s="534"/>
      <c r="S875" s="131"/>
      <c r="T875" s="470" t="str">
        <f t="shared" si="1039"/>
        <v/>
      </c>
      <c r="W875" s="471">
        <f t="shared" ref="W875:X875" si="1056">W874</f>
        <v>34</v>
      </c>
      <c r="X875" s="471" t="e">
        <f t="shared" si="1056"/>
        <v>#REF!</v>
      </c>
      <c r="Y875" s="471" t="e">
        <f t="shared" si="1046"/>
        <v>#REF!</v>
      </c>
      <c r="Z875" s="471"/>
      <c r="AA875" s="471"/>
    </row>
    <row r="876" spans="1:40" s="470" customFormat="1" ht="15.75" customHeight="1" x14ac:dyDescent="0.15">
      <c r="B876" s="95"/>
      <c r="C876" s="140"/>
      <c r="D876" s="95"/>
      <c r="E876" s="141"/>
      <c r="F876" s="94"/>
      <c r="G876" s="505"/>
      <c r="H876" s="463" t="str">
        <f t="shared" si="1038"/>
        <v/>
      </c>
      <c r="I876" s="451"/>
      <c r="J876" s="506"/>
      <c r="K876" s="507"/>
      <c r="L876" s="506"/>
      <c r="M876" s="507"/>
      <c r="N876" s="507"/>
      <c r="O876" s="507"/>
      <c r="P876" s="508"/>
      <c r="Q876" s="512"/>
      <c r="R876" s="534"/>
      <c r="S876" s="131"/>
      <c r="T876" s="470" t="str">
        <f t="shared" si="1039"/>
        <v/>
      </c>
      <c r="W876" s="471">
        <f t="shared" ref="W876:X876" si="1057">W875</f>
        <v>34</v>
      </c>
      <c r="X876" s="471" t="e">
        <f t="shared" si="1057"/>
        <v>#REF!</v>
      </c>
      <c r="Y876" s="471" t="e">
        <f t="shared" si="1046"/>
        <v>#REF!</v>
      </c>
      <c r="Z876" s="471"/>
      <c r="AA876" s="471"/>
    </row>
    <row r="877" spans="1:40" s="470" customFormat="1" ht="15.75" customHeight="1" x14ac:dyDescent="0.15">
      <c r="B877" s="95"/>
      <c r="C877" s="140"/>
      <c r="D877" s="95"/>
      <c r="E877" s="141"/>
      <c r="F877" s="94"/>
      <c r="G877" s="505"/>
      <c r="H877" s="463" t="str">
        <f t="shared" si="1038"/>
        <v/>
      </c>
      <c r="I877" s="451"/>
      <c r="J877" s="506"/>
      <c r="K877" s="507"/>
      <c r="L877" s="506"/>
      <c r="M877" s="507"/>
      <c r="N877" s="507"/>
      <c r="O877" s="507"/>
      <c r="P877" s="508"/>
      <c r="Q877" s="512"/>
      <c r="R877" s="534"/>
      <c r="S877" s="131"/>
      <c r="T877" s="470" t="str">
        <f t="shared" si="1039"/>
        <v/>
      </c>
      <c r="W877" s="471">
        <f t="shared" ref="W877:X877" si="1058">W876</f>
        <v>34</v>
      </c>
      <c r="X877" s="471" t="e">
        <f t="shared" si="1058"/>
        <v>#REF!</v>
      </c>
      <c r="Y877" s="471" t="e">
        <f t="shared" si="1046"/>
        <v>#REF!</v>
      </c>
      <c r="Z877" s="471"/>
      <c r="AA877" s="471"/>
    </row>
    <row r="878" spans="1:40" s="470" customFormat="1" ht="15.75" customHeight="1" x14ac:dyDescent="0.15">
      <c r="B878" s="95"/>
      <c r="C878" s="140"/>
      <c r="D878" s="95"/>
      <c r="E878" s="141"/>
      <c r="F878" s="94"/>
      <c r="G878" s="505"/>
      <c r="H878" s="463" t="str">
        <f t="shared" si="1038"/>
        <v/>
      </c>
      <c r="I878" s="451"/>
      <c r="J878" s="506"/>
      <c r="K878" s="507"/>
      <c r="L878" s="506"/>
      <c r="M878" s="507"/>
      <c r="N878" s="507"/>
      <c r="O878" s="507"/>
      <c r="P878" s="508"/>
      <c r="Q878" s="512"/>
      <c r="R878" s="534"/>
      <c r="S878" s="131"/>
      <c r="T878" s="470" t="str">
        <f t="shared" si="1039"/>
        <v/>
      </c>
      <c r="W878" s="471">
        <f t="shared" ref="W878:X878" si="1059">W877</f>
        <v>34</v>
      </c>
      <c r="X878" s="471" t="e">
        <f t="shared" si="1059"/>
        <v>#REF!</v>
      </c>
      <c r="Y878" s="471" t="e">
        <f t="shared" si="1046"/>
        <v>#REF!</v>
      </c>
      <c r="Z878" s="471"/>
      <c r="AA878" s="471"/>
    </row>
    <row r="879" spans="1:40" s="470" customFormat="1" ht="15.75" customHeight="1" x14ac:dyDescent="0.15">
      <c r="B879" s="95"/>
      <c r="C879" s="140"/>
      <c r="D879" s="95"/>
      <c r="E879" s="141"/>
      <c r="F879" s="94"/>
      <c r="G879" s="505"/>
      <c r="H879" s="463" t="str">
        <f t="shared" si="1038"/>
        <v/>
      </c>
      <c r="I879" s="451"/>
      <c r="J879" s="506"/>
      <c r="K879" s="507"/>
      <c r="L879" s="506"/>
      <c r="M879" s="507"/>
      <c r="N879" s="507"/>
      <c r="O879" s="507"/>
      <c r="P879" s="508"/>
      <c r="Q879" s="512"/>
      <c r="R879" s="534"/>
      <c r="S879" s="131"/>
      <c r="T879" s="470" t="str">
        <f t="shared" si="1039"/>
        <v/>
      </c>
      <c r="W879" s="471">
        <f t="shared" ref="W879:X879" si="1060">W878</f>
        <v>34</v>
      </c>
      <c r="X879" s="471" t="e">
        <f t="shared" si="1060"/>
        <v>#REF!</v>
      </c>
      <c r="Y879" s="471" t="e">
        <f t="shared" si="1046"/>
        <v>#REF!</v>
      </c>
      <c r="Z879" s="471"/>
      <c r="AA879" s="471"/>
    </row>
    <row r="880" spans="1:40" s="470" customFormat="1" ht="15.75" customHeight="1" x14ac:dyDescent="0.15">
      <c r="B880" s="95"/>
      <c r="C880" s="140"/>
      <c r="D880" s="95"/>
      <c r="E880" s="141"/>
      <c r="F880" s="94"/>
      <c r="G880" s="505"/>
      <c r="H880" s="463" t="str">
        <f t="shared" si="1038"/>
        <v/>
      </c>
      <c r="I880" s="451"/>
      <c r="J880" s="506"/>
      <c r="K880" s="507"/>
      <c r="L880" s="506"/>
      <c r="M880" s="507"/>
      <c r="N880" s="507"/>
      <c r="O880" s="507"/>
      <c r="P880" s="508"/>
      <c r="Q880" s="512"/>
      <c r="R880" s="534"/>
      <c r="S880" s="131"/>
      <c r="T880" s="470" t="str">
        <f t="shared" si="1039"/>
        <v/>
      </c>
      <c r="W880" s="471">
        <f t="shared" ref="W880:X880" si="1061">W879</f>
        <v>34</v>
      </c>
      <c r="X880" s="471" t="e">
        <f t="shared" si="1061"/>
        <v>#REF!</v>
      </c>
      <c r="Y880" s="471" t="e">
        <f t="shared" si="1046"/>
        <v>#REF!</v>
      </c>
      <c r="Z880" s="471"/>
      <c r="AA880" s="471"/>
    </row>
    <row r="881" spans="1:40" s="470" customFormat="1" ht="15.75" customHeight="1" x14ac:dyDescent="0.15">
      <c r="B881" s="95"/>
      <c r="C881" s="140"/>
      <c r="D881" s="95"/>
      <c r="E881" s="141"/>
      <c r="F881" s="94"/>
      <c r="G881" s="505"/>
      <c r="H881" s="463" t="str">
        <f t="shared" si="1038"/>
        <v/>
      </c>
      <c r="I881" s="451"/>
      <c r="J881" s="506"/>
      <c r="K881" s="507"/>
      <c r="L881" s="506"/>
      <c r="M881" s="507"/>
      <c r="N881" s="507"/>
      <c r="O881" s="507"/>
      <c r="P881" s="508"/>
      <c r="Q881" s="512"/>
      <c r="R881" s="513"/>
      <c r="S881" s="131"/>
      <c r="T881" s="470" t="str">
        <f t="shared" si="1039"/>
        <v/>
      </c>
      <c r="W881" s="471">
        <f t="shared" ref="W881:X881" si="1062">W880</f>
        <v>34</v>
      </c>
      <c r="X881" s="471" t="e">
        <f t="shared" si="1062"/>
        <v>#REF!</v>
      </c>
      <c r="Y881" s="471" t="e">
        <f t="shared" si="1046"/>
        <v>#REF!</v>
      </c>
      <c r="Z881" s="471"/>
      <c r="AA881" s="471"/>
    </row>
    <row r="882" spans="1:40" s="470" customFormat="1" ht="15.75" customHeight="1" x14ac:dyDescent="0.15">
      <c r="B882" s="514" t="s">
        <v>346</v>
      </c>
      <c r="C882" s="515"/>
      <c r="D882" s="516"/>
      <c r="E882" s="517"/>
      <c r="F882" s="518"/>
      <c r="G882" s="519"/>
      <c r="H882" s="463" t="str">
        <f t="shared" si="1038"/>
        <v/>
      </c>
      <c r="I882" s="520">
        <f>목록!$B$40</f>
        <v>34</v>
      </c>
      <c r="J882" s="521"/>
      <c r="K882" s="522">
        <f>SUM(K868:K881)</f>
        <v>47262</v>
      </c>
      <c r="L882" s="521"/>
      <c r="M882" s="522">
        <f>SUM(M868:M881)</f>
        <v>6271</v>
      </c>
      <c r="N882" s="521"/>
      <c r="O882" s="522">
        <f>SUM(O868:O881)</f>
        <v>0</v>
      </c>
      <c r="P882" s="523"/>
      <c r="Q882" s="512"/>
      <c r="R882" s="513"/>
      <c r="S882" s="524"/>
      <c r="T882" s="470" t="str">
        <f t="shared" si="1039"/>
        <v/>
      </c>
      <c r="W882" s="471">
        <f t="shared" ref="W882:X882" si="1063">W881</f>
        <v>34</v>
      </c>
      <c r="X882" s="471" t="e">
        <f t="shared" si="1063"/>
        <v>#REF!</v>
      </c>
      <c r="Y882" s="471" t="e">
        <f t="shared" si="1046"/>
        <v>#REF!</v>
      </c>
      <c r="Z882" s="471"/>
      <c r="AA882" s="471"/>
    </row>
    <row r="883" spans="1:40" s="470" customFormat="1" ht="15.75" customHeight="1" x14ac:dyDescent="0.15">
      <c r="B883" s="453"/>
      <c r="C883" s="630" t="s">
        <v>1034</v>
      </c>
      <c r="D883" s="95"/>
      <c r="E883" s="141"/>
      <c r="F883" s="94"/>
      <c r="G883" s="505"/>
      <c r="H883" s="463" t="str">
        <f t="shared" si="1038"/>
        <v>※ 실내건축표준품셈 수장-21</v>
      </c>
      <c r="I883" s="451"/>
      <c r="J883" s="506"/>
      <c r="K883" s="507"/>
      <c r="L883" s="506"/>
      <c r="M883" s="507"/>
      <c r="N883" s="507"/>
      <c r="O883" s="507"/>
      <c r="P883" s="508"/>
      <c r="Q883" s="512"/>
      <c r="R883" s="513"/>
      <c r="S883" s="131"/>
      <c r="T883" s="470" t="str">
        <f t="shared" si="1039"/>
        <v/>
      </c>
      <c r="W883" s="615">
        <f t="shared" ref="W883:X883" si="1064">W882</f>
        <v>34</v>
      </c>
      <c r="X883" s="471" t="e">
        <f t="shared" si="1064"/>
        <v>#REF!</v>
      </c>
      <c r="Y883" s="471" t="e">
        <f t="shared" si="1046"/>
        <v>#REF!</v>
      </c>
      <c r="Z883" s="471"/>
      <c r="AA883" s="471"/>
    </row>
    <row r="884" spans="1:40" s="470" customFormat="1" ht="15.75" customHeight="1" x14ac:dyDescent="0.15">
      <c r="A884" s="457"/>
      <c r="B884" s="453"/>
      <c r="C884" s="630" t="s">
        <v>1440</v>
      </c>
      <c r="D884" s="95"/>
      <c r="E884" s="141"/>
      <c r="F884" s="94"/>
      <c r="G884" s="505"/>
      <c r="H884" s="463" t="str">
        <f t="shared" si="1038"/>
        <v>※ 품셈상 필름 계상수량은 1.5㎡ 기준이지만 본품에선 1.3㎡를 계상함</v>
      </c>
      <c r="I884" s="451"/>
      <c r="J884" s="506"/>
      <c r="K884" s="507"/>
      <c r="L884" s="506"/>
      <c r="M884" s="507"/>
      <c r="N884" s="507"/>
      <c r="O884" s="507"/>
      <c r="P884" s="508"/>
      <c r="Q884" s="512"/>
      <c r="R884" s="513"/>
      <c r="S884" s="131"/>
      <c r="T884" s="470" t="str">
        <f t="shared" ref="T884:T911" si="1065">CONCATENATE(Q884,R884)</f>
        <v/>
      </c>
      <c r="W884" s="471">
        <f t="shared" ref="W884:X884" si="1066">W883</f>
        <v>34</v>
      </c>
      <c r="X884" s="471" t="e">
        <f t="shared" si="1066"/>
        <v>#REF!</v>
      </c>
      <c r="Y884" s="471" t="e">
        <f t="shared" si="1046"/>
        <v>#REF!</v>
      </c>
      <c r="Z884" s="471"/>
      <c r="AA884" s="471"/>
    </row>
    <row r="885" spans="1:40" s="470" customFormat="1" ht="15.75" customHeight="1" x14ac:dyDescent="0.15">
      <c r="B885" s="514"/>
      <c r="C885" s="515"/>
      <c r="D885" s="516"/>
      <c r="E885" s="517"/>
      <c r="F885" s="518"/>
      <c r="G885" s="519"/>
      <c r="H885" s="463" t="str">
        <f t="shared" si="1038"/>
        <v/>
      </c>
      <c r="I885" s="520"/>
      <c r="J885" s="521"/>
      <c r="K885" s="522"/>
      <c r="L885" s="521"/>
      <c r="M885" s="522"/>
      <c r="N885" s="521"/>
      <c r="O885" s="522"/>
      <c r="P885" s="523"/>
      <c r="Q885" s="512"/>
      <c r="R885" s="513"/>
      <c r="S885" s="524"/>
      <c r="T885" s="470" t="str">
        <f t="shared" si="1065"/>
        <v/>
      </c>
      <c r="U885" s="457"/>
      <c r="W885" s="471">
        <f t="shared" ref="W885:X885" si="1067">W884</f>
        <v>34</v>
      </c>
      <c r="X885" s="471" t="e">
        <f t="shared" si="1067"/>
        <v>#REF!</v>
      </c>
      <c r="Y885" s="471" t="e">
        <f t="shared" si="1046"/>
        <v>#REF!</v>
      </c>
      <c r="Z885" s="471"/>
      <c r="AA885" s="471"/>
      <c r="AB885" s="457"/>
      <c r="AD885" s="457"/>
      <c r="AE885" s="457"/>
      <c r="AF885" s="457"/>
      <c r="AG885" s="457"/>
      <c r="AH885" s="457"/>
      <c r="AI885" s="457"/>
      <c r="AJ885" s="457"/>
      <c r="AK885" s="457"/>
      <c r="AL885" s="457"/>
      <c r="AM885" s="457"/>
      <c r="AN885" s="457"/>
    </row>
    <row r="886" spans="1:40" s="457" customFormat="1" ht="15.75" customHeight="1" x14ac:dyDescent="0.15">
      <c r="A886" s="470"/>
      <c r="C886" s="458"/>
      <c r="D886" s="459"/>
      <c r="E886" s="460"/>
      <c r="F886" s="461"/>
      <c r="G886" s="462"/>
      <c r="H886" s="463" t="str">
        <f t="shared" ref="H886:H911" si="1068">CONCATENATE(C886,E886,F886)</f>
        <v/>
      </c>
      <c r="I886" s="464"/>
      <c r="J886" s="465"/>
      <c r="K886" s="465"/>
      <c r="L886" s="465"/>
      <c r="M886" s="465"/>
      <c r="N886" s="465"/>
      <c r="O886" s="466"/>
      <c r="P886" s="467"/>
      <c r="Q886" s="468"/>
      <c r="R886" s="469"/>
      <c r="S886" s="467"/>
      <c r="T886" s="470" t="str">
        <f t="shared" si="1065"/>
        <v/>
      </c>
      <c r="U886" s="470"/>
      <c r="V886" s="470"/>
      <c r="W886" s="533">
        <f t="shared" ref="W886" si="1069">I908</f>
        <v>35</v>
      </c>
      <c r="X886" s="533" t="e">
        <f t="shared" ref="X886" si="1070">X885+1</f>
        <v>#REF!</v>
      </c>
      <c r="Y886" s="533" t="e">
        <f t="shared" si="1046"/>
        <v>#REF!</v>
      </c>
      <c r="Z886" s="533"/>
      <c r="AA886" s="533"/>
      <c r="AB886" s="470"/>
      <c r="AC886" s="470"/>
      <c r="AD886" s="470"/>
      <c r="AE886" s="470"/>
      <c r="AF886" s="470"/>
      <c r="AG886" s="470"/>
      <c r="AH886" s="470"/>
      <c r="AI886" s="470"/>
      <c r="AJ886" s="470"/>
      <c r="AK886" s="470"/>
      <c r="AL886" s="470"/>
      <c r="AM886" s="470"/>
      <c r="AN886" s="470"/>
    </row>
    <row r="887" spans="1:40" s="470" customFormat="1" ht="15.75" customHeight="1" x14ac:dyDescent="0.15">
      <c r="A887" s="457"/>
      <c r="B887" s="473"/>
      <c r="C887" s="474" t="str">
        <f>"   항목번호 : "&amp;목록!L$41</f>
        <v xml:space="preserve">   항목번호 : 제35호표</v>
      </c>
      <c r="D887" s="475" t="e">
        <f>목록!#REF!</f>
        <v>#REF!</v>
      </c>
      <c r="E887" s="476"/>
      <c r="F887" s="477"/>
      <c r="G887" s="478"/>
      <c r="H887" s="463" t="str">
        <f t="shared" si="1068"/>
        <v xml:space="preserve">   항목번호 : 제35호표</v>
      </c>
      <c r="I887" s="479"/>
      <c r="J887" s="480"/>
      <c r="K887" s="481"/>
      <c r="L887" s="482"/>
      <c r="M887" s="482"/>
      <c r="N887" s="482"/>
      <c r="O887" s="466"/>
      <c r="P887" s="483"/>
      <c r="Q887" s="484"/>
      <c r="R887" s="485"/>
      <c r="S887" s="483"/>
      <c r="T887" s="470" t="str">
        <f t="shared" si="1065"/>
        <v/>
      </c>
      <c r="V887" s="551"/>
      <c r="W887" s="471">
        <f t="shared" ref="W887:X887" si="1071">W886</f>
        <v>35</v>
      </c>
      <c r="X887" s="471" t="e">
        <f t="shared" si="1071"/>
        <v>#REF!</v>
      </c>
      <c r="Y887" s="471" t="e">
        <f t="shared" si="1046"/>
        <v>#REF!</v>
      </c>
      <c r="Z887" s="471"/>
      <c r="AA887" s="471"/>
    </row>
    <row r="888" spans="1:40" s="470" customFormat="1" ht="15.75" customHeight="1" x14ac:dyDescent="0.15">
      <c r="A888" s="457"/>
      <c r="B888" s="473"/>
      <c r="C888" s="474" t="str">
        <f>"   공      종 : "&amp;목록!D$41</f>
        <v xml:space="preserve">   공      종 : 인테리어 필름 붙임</v>
      </c>
      <c r="D888" s="484"/>
      <c r="E888" s="476"/>
      <c r="F888" s="473"/>
      <c r="G888" s="478"/>
      <c r="H888" s="463" t="str">
        <f t="shared" si="1068"/>
        <v xml:space="preserve">   공      종 : 인테리어 필름 붙임</v>
      </c>
      <c r="I888" s="479"/>
      <c r="J888" s="480"/>
      <c r="K888" s="481"/>
      <c r="L888" s="482"/>
      <c r="M888" s="482"/>
      <c r="N888" s="482"/>
      <c r="O888" s="466"/>
      <c r="P888" s="483"/>
      <c r="Q888" s="484"/>
      <c r="R888" s="485"/>
      <c r="S888" s="483"/>
      <c r="T888" s="470" t="str">
        <f t="shared" si="1065"/>
        <v/>
      </c>
      <c r="U888" s="457"/>
      <c r="W888" s="471">
        <f t="shared" ref="W888:X888" si="1072">W887</f>
        <v>35</v>
      </c>
      <c r="X888" s="471" t="e">
        <f t="shared" si="1072"/>
        <v>#REF!</v>
      </c>
      <c r="Y888" s="471" t="e">
        <f t="shared" si="1046"/>
        <v>#REF!</v>
      </c>
      <c r="Z888" s="471"/>
      <c r="AA888" s="471"/>
      <c r="AB888" s="457"/>
      <c r="AC888" s="457"/>
      <c r="AD888" s="457"/>
      <c r="AE888" s="457"/>
      <c r="AF888" s="457"/>
      <c r="AG888" s="457"/>
      <c r="AH888" s="457"/>
      <c r="AI888" s="457"/>
      <c r="AJ888" s="457"/>
      <c r="AK888" s="457"/>
      <c r="AL888" s="457"/>
      <c r="AM888" s="457"/>
      <c r="AN888" s="457"/>
    </row>
    <row r="889" spans="1:40" s="457" customFormat="1" ht="15.75" customHeight="1" x14ac:dyDescent="0.15">
      <c r="B889" s="473"/>
      <c r="C889" s="474" t="str">
        <f xml:space="preserve"> "   규      격 : "&amp;목록!F$41</f>
        <v xml:space="preserve">   규      격 : 넓은면, W=400이상</v>
      </c>
      <c r="D889" s="484"/>
      <c r="E889" s="476"/>
      <c r="F889" s="473"/>
      <c r="G889" s="478"/>
      <c r="H889" s="463" t="str">
        <f t="shared" si="1068"/>
        <v xml:space="preserve">   규      격 : 넓은면, W=400이상</v>
      </c>
      <c r="I889" s="479"/>
      <c r="J889" s="480" t="s">
        <v>348</v>
      </c>
      <c r="K889" s="481"/>
      <c r="L889" s="482" t="s">
        <v>349</v>
      </c>
      <c r="M889" s="482"/>
      <c r="N889" s="482" t="s">
        <v>240</v>
      </c>
      <c r="O889" s="466"/>
      <c r="P889" s="483"/>
      <c r="Q889" s="484" t="s">
        <v>723</v>
      </c>
      <c r="R889" s="484"/>
      <c r="S889" s="483"/>
      <c r="T889" s="470" t="str">
        <f t="shared" si="1065"/>
        <v>합계</v>
      </c>
      <c r="V889" s="470"/>
      <c r="W889" s="471">
        <f t="shared" ref="W889:X889" si="1073">W888</f>
        <v>35</v>
      </c>
      <c r="X889" s="471" t="e">
        <f t="shared" si="1073"/>
        <v>#REF!</v>
      </c>
      <c r="Y889" s="471" t="e">
        <f t="shared" si="1046"/>
        <v>#REF!</v>
      </c>
      <c r="Z889" s="471"/>
      <c r="AA889" s="471"/>
    </row>
    <row r="890" spans="1:40" s="457" customFormat="1" ht="15.75" customHeight="1" x14ac:dyDescent="0.15">
      <c r="B890" s="473"/>
      <c r="C890" s="474" t="str">
        <f>"   단      위 : "&amp;목록!G$41</f>
        <v xml:space="preserve">   단      위 : ㎡</v>
      </c>
      <c r="D890" s="484"/>
      <c r="E890" s="476"/>
      <c r="F890" s="473"/>
      <c r="G890" s="478"/>
      <c r="H890" s="463" t="str">
        <f t="shared" si="1068"/>
        <v xml:space="preserve">   단      위 : ㎡</v>
      </c>
      <c r="I890" s="479"/>
      <c r="J890" s="486">
        <f>K908</f>
        <v>40262</v>
      </c>
      <c r="K890" s="481"/>
      <c r="L890" s="487">
        <f>M908</f>
        <v>6271</v>
      </c>
      <c r="M890" s="482"/>
      <c r="N890" s="482">
        <f>O908</f>
        <v>0</v>
      </c>
      <c r="O890" s="466"/>
      <c r="P890" s="483"/>
      <c r="Q890" s="488">
        <f>J890+L890+N890</f>
        <v>46533</v>
      </c>
      <c r="R890" s="489"/>
      <c r="S890" s="483"/>
      <c r="T890" s="470" t="str">
        <f t="shared" si="1065"/>
        <v>46533</v>
      </c>
      <c r="V890" s="470"/>
      <c r="W890" s="471">
        <f t="shared" ref="W890:X890" si="1074">W889</f>
        <v>35</v>
      </c>
      <c r="X890" s="471" t="e">
        <f t="shared" si="1074"/>
        <v>#REF!</v>
      </c>
      <c r="Y890" s="471" t="e">
        <f t="shared" si="1046"/>
        <v>#REF!</v>
      </c>
      <c r="Z890" s="471"/>
      <c r="AA890" s="471"/>
    </row>
    <row r="891" spans="1:40" s="457" customFormat="1" ht="15.75" customHeight="1" x14ac:dyDescent="0.15">
      <c r="B891" s="473"/>
      <c r="C891" s="474"/>
      <c r="D891" s="484"/>
      <c r="E891" s="476"/>
      <c r="F891" s="473"/>
      <c r="G891" s="490"/>
      <c r="H891" s="463" t="str">
        <f t="shared" si="1068"/>
        <v/>
      </c>
      <c r="I891" s="491"/>
      <c r="J891" s="482"/>
      <c r="K891" s="465"/>
      <c r="L891" s="482"/>
      <c r="M891" s="482"/>
      <c r="N891" s="482"/>
      <c r="O891" s="466"/>
      <c r="P891" s="492"/>
      <c r="Q891" s="493"/>
      <c r="R891" s="485"/>
      <c r="S891" s="492"/>
      <c r="T891" s="470" t="str">
        <f t="shared" si="1065"/>
        <v/>
      </c>
      <c r="V891" s="470"/>
      <c r="W891" s="471">
        <f t="shared" ref="W891:X891" si="1075">W890</f>
        <v>35</v>
      </c>
      <c r="X891" s="471" t="e">
        <f t="shared" si="1075"/>
        <v>#REF!</v>
      </c>
      <c r="Y891" s="471" t="e">
        <f t="shared" si="1046"/>
        <v>#REF!</v>
      </c>
      <c r="Z891" s="471"/>
      <c r="AA891" s="471"/>
    </row>
    <row r="892" spans="1:40" s="457" customFormat="1" ht="15.75" customHeight="1" x14ac:dyDescent="0.15">
      <c r="B892" s="899" t="s">
        <v>375</v>
      </c>
      <c r="C892" s="900"/>
      <c r="D892" s="907" t="s">
        <v>356</v>
      </c>
      <c r="E892" s="908"/>
      <c r="F892" s="903" t="s">
        <v>588</v>
      </c>
      <c r="G892" s="913" t="s">
        <v>589</v>
      </c>
      <c r="H892" s="463" t="str">
        <f t="shared" si="1068"/>
        <v>단위</v>
      </c>
      <c r="I892" s="621"/>
      <c r="J892" s="495" t="s">
        <v>348</v>
      </c>
      <c r="K892" s="496"/>
      <c r="L892" s="495" t="s">
        <v>349</v>
      </c>
      <c r="M892" s="496"/>
      <c r="N892" s="497" t="s">
        <v>240</v>
      </c>
      <c r="O892" s="497"/>
      <c r="P892" s="498"/>
      <c r="Q892" s="744" t="s">
        <v>355</v>
      </c>
      <c r="R892" s="744"/>
      <c r="S892" s="499"/>
      <c r="T892" s="470" t="str">
        <f t="shared" si="1065"/>
        <v>비  고</v>
      </c>
      <c r="V892" s="470"/>
      <c r="W892" s="471">
        <f t="shared" ref="W892:X892" si="1076">W891</f>
        <v>35</v>
      </c>
      <c r="X892" s="471" t="e">
        <f t="shared" si="1076"/>
        <v>#REF!</v>
      </c>
      <c r="Y892" s="471" t="e">
        <f t="shared" si="1046"/>
        <v>#REF!</v>
      </c>
      <c r="Z892" s="471"/>
      <c r="AA892" s="471"/>
    </row>
    <row r="893" spans="1:40" s="457" customFormat="1" ht="15.75" customHeight="1" x14ac:dyDescent="0.15">
      <c r="B893" s="901"/>
      <c r="C893" s="902"/>
      <c r="D893" s="909"/>
      <c r="E893" s="910"/>
      <c r="F893" s="904"/>
      <c r="G893" s="914"/>
      <c r="H893" s="463" t="str">
        <f t="shared" si="1068"/>
        <v/>
      </c>
      <c r="I893" s="622"/>
      <c r="J893" s="501" t="s">
        <v>353</v>
      </c>
      <c r="K893" s="501" t="s">
        <v>354</v>
      </c>
      <c r="L893" s="501" t="s">
        <v>353</v>
      </c>
      <c r="M893" s="620" t="s">
        <v>354</v>
      </c>
      <c r="N893" s="501" t="s">
        <v>353</v>
      </c>
      <c r="O893" s="501" t="s">
        <v>354</v>
      </c>
      <c r="P893" s="503"/>
      <c r="Q893" s="745"/>
      <c r="R893" s="745"/>
      <c r="S893" s="504"/>
      <c r="T893" s="470" t="str">
        <f t="shared" si="1065"/>
        <v/>
      </c>
      <c r="V893" s="470"/>
      <c r="W893" s="471">
        <f t="shared" ref="W893:X893" si="1077">W892</f>
        <v>35</v>
      </c>
      <c r="X893" s="471" t="e">
        <f t="shared" si="1077"/>
        <v>#REF!</v>
      </c>
      <c r="Y893" s="471" t="e">
        <f t="shared" si="1046"/>
        <v>#REF!</v>
      </c>
      <c r="Z893" s="471"/>
      <c r="AA893" s="471"/>
    </row>
    <row r="894" spans="1:40" s="457" customFormat="1" ht="15.75" customHeight="1" x14ac:dyDescent="0.15">
      <c r="A894" s="547"/>
      <c r="B894" s="95"/>
      <c r="C894" s="164" t="s">
        <v>602</v>
      </c>
      <c r="D894" s="165"/>
      <c r="E894" s="164" t="s">
        <v>971</v>
      </c>
      <c r="F894" s="455" t="s">
        <v>350</v>
      </c>
      <c r="G894" s="505">
        <v>1.1000000000000001</v>
      </c>
      <c r="H894" s="505" t="str">
        <f t="shared" si="1068"/>
        <v>인테리어필름0.40*1220 방염우드㎡</v>
      </c>
      <c r="I894" s="94" t="str">
        <f>CONCATENATE(C894,E894,F894)</f>
        <v>인테리어필름0.40*1220 방염우드㎡</v>
      </c>
      <c r="J894" s="506">
        <f>IF(OR($F894="인",$F894=""),"",VLOOKUP($H894,단가!$A:$S,19,FALSE))</f>
        <v>35000</v>
      </c>
      <c r="K894" s="507">
        <f>IF(J894="","",TRUNC($G894*J894,0))</f>
        <v>38500</v>
      </c>
      <c r="L894" s="506" t="str">
        <f>IF($F894="인",VLOOKUP($C:$C,노임!$C:$G,4,FALSE),"")</f>
        <v/>
      </c>
      <c r="M894" s="507" t="str">
        <f>IF(L894="","",TRUNC($G894*L894,0))</f>
        <v/>
      </c>
      <c r="N894" s="507"/>
      <c r="O894" s="507" t="str">
        <f>IF(N894="","",TRUNC($G894*N894,0))</f>
        <v/>
      </c>
      <c r="P894" s="508"/>
      <c r="Q894" s="509" t="str">
        <f>IF(F894="인","노임"&amp;VLOOKUP($C:$C,노임!C:G,5,FALSE)&amp;"번","단가"&amp;VLOOKUP($H:$H,단가!$A:$B,2,FALSE)&amp;"번")</f>
        <v>단가53번</v>
      </c>
      <c r="R894" s="510"/>
      <c r="S894" s="131"/>
      <c r="T894" s="470" t="str">
        <f t="shared" si="1065"/>
        <v>단가53번</v>
      </c>
      <c r="V894" s="470"/>
      <c r="W894" s="471">
        <f t="shared" ref="W894:X894" si="1078">W893</f>
        <v>35</v>
      </c>
      <c r="X894" s="471" t="e">
        <f t="shared" si="1078"/>
        <v>#REF!</v>
      </c>
      <c r="Y894" s="471" t="e">
        <f t="shared" si="1046"/>
        <v>#REF!</v>
      </c>
      <c r="Z894" s="471"/>
      <c r="AA894" s="471"/>
    </row>
    <row r="895" spans="1:40" s="457" customFormat="1" ht="15.75" customHeight="1" x14ac:dyDescent="0.15">
      <c r="A895" s="547"/>
      <c r="B895" s="95"/>
      <c r="C895" s="98" t="s">
        <v>970</v>
      </c>
      <c r="D895" s="99"/>
      <c r="E895" s="98" t="s">
        <v>744</v>
      </c>
      <c r="F895" s="96" t="s">
        <v>726</v>
      </c>
      <c r="G895" s="505">
        <v>1</v>
      </c>
      <c r="H895" s="463" t="str">
        <f t="shared" si="1068"/>
        <v>LINE PUTTY(벽체)석고보드면, 합판면㎡</v>
      </c>
      <c r="I895" s="451" t="str">
        <f>CONCATENATE(C895,E895,F895)</f>
        <v>LINE PUTTY(벽체)석고보드면, 합판면㎡</v>
      </c>
      <c r="J895" s="506">
        <f>VLOOKUP($H895,목록!$A:$K,8,FALSE)</f>
        <v>1762</v>
      </c>
      <c r="K895" s="507">
        <f>IF(J895="","",TRUNC($G895*J895,0))</f>
        <v>1762</v>
      </c>
      <c r="L895" s="506">
        <f>VLOOKUP($H895,목록!$A:$K,9,FALSE)</f>
        <v>6271</v>
      </c>
      <c r="M895" s="507">
        <f>IF(L895="","",TRUNC($G895*L895,0))</f>
        <v>6271</v>
      </c>
      <c r="N895" s="506" t="str">
        <f>VLOOKUP($H895,목록!$A:$K,10,FALSE)</f>
        <v/>
      </c>
      <c r="O895" s="507" t="str">
        <f>IF(N895="","",TRUNC($G895*N895,0))</f>
        <v/>
      </c>
      <c r="P895" s="508"/>
      <c r="Q895" s="509" t="str">
        <f>"제"&amp;VLOOKUP($H:$H,목록!$A:$B,2,FALSE)&amp;"호표"</f>
        <v>제36호표</v>
      </c>
      <c r="R895" s="550"/>
      <c r="S895" s="131"/>
      <c r="T895" s="470" t="str">
        <f t="shared" si="1065"/>
        <v>제36호표</v>
      </c>
      <c r="V895" s="548"/>
      <c r="W895" s="471">
        <f t="shared" ref="W895:X895" si="1079">W894</f>
        <v>35</v>
      </c>
      <c r="X895" s="471" t="e">
        <f t="shared" si="1079"/>
        <v>#REF!</v>
      </c>
      <c r="Y895" s="471" t="e">
        <f t="shared" si="1046"/>
        <v>#REF!</v>
      </c>
      <c r="Z895" s="471"/>
      <c r="AA895" s="471"/>
    </row>
    <row r="896" spans="1:40" s="457" customFormat="1" ht="15.75" customHeight="1" x14ac:dyDescent="0.15">
      <c r="A896" s="470"/>
      <c r="B896" s="95"/>
      <c r="C896" s="140"/>
      <c r="D896" s="95"/>
      <c r="E896" s="141"/>
      <c r="F896" s="94"/>
      <c r="G896" s="505"/>
      <c r="H896" s="463"/>
      <c r="I896" s="451"/>
      <c r="J896" s="506"/>
      <c r="K896" s="507"/>
      <c r="L896" s="506"/>
      <c r="M896" s="507"/>
      <c r="N896" s="507"/>
      <c r="O896" s="507"/>
      <c r="P896" s="508"/>
      <c r="Q896" s="509"/>
      <c r="R896" s="510"/>
      <c r="S896" s="131"/>
      <c r="T896" s="470" t="str">
        <f t="shared" si="1065"/>
        <v/>
      </c>
      <c r="V896" s="549"/>
      <c r="W896" s="471">
        <f t="shared" ref="W896:X896" si="1080">W895</f>
        <v>35</v>
      </c>
      <c r="X896" s="471" t="e">
        <f t="shared" si="1080"/>
        <v>#REF!</v>
      </c>
      <c r="Y896" s="471" t="e">
        <f t="shared" si="1046"/>
        <v>#REF!</v>
      </c>
      <c r="Z896" s="471"/>
      <c r="AA896" s="471"/>
      <c r="AB896" s="470"/>
    </row>
    <row r="897" spans="1:40" s="457" customFormat="1" ht="15.75" customHeight="1" x14ac:dyDescent="0.15">
      <c r="A897" s="470"/>
      <c r="B897" s="95"/>
      <c r="C897" s="140"/>
      <c r="D897" s="95"/>
      <c r="E897" s="141"/>
      <c r="F897" s="94"/>
      <c r="G897" s="505"/>
      <c r="H897" s="463" t="str">
        <f t="shared" si="1068"/>
        <v/>
      </c>
      <c r="I897" s="451"/>
      <c r="J897" s="506"/>
      <c r="K897" s="507"/>
      <c r="L897" s="506"/>
      <c r="M897" s="507"/>
      <c r="N897" s="507"/>
      <c r="O897" s="507"/>
      <c r="P897" s="508"/>
      <c r="Q897" s="512"/>
      <c r="R897" s="534"/>
      <c r="S897" s="131"/>
      <c r="T897" s="470" t="str">
        <f t="shared" si="1065"/>
        <v/>
      </c>
      <c r="U897" s="470"/>
      <c r="V897" s="470"/>
      <c r="W897" s="471">
        <f t="shared" ref="W897:X897" si="1081">W896</f>
        <v>35</v>
      </c>
      <c r="X897" s="471" t="e">
        <f t="shared" si="1081"/>
        <v>#REF!</v>
      </c>
      <c r="Y897" s="471" t="e">
        <f t="shared" si="1046"/>
        <v>#REF!</v>
      </c>
      <c r="Z897" s="471"/>
      <c r="AA897" s="471"/>
      <c r="AB897" s="470"/>
      <c r="AC897" s="470"/>
      <c r="AD897" s="470"/>
      <c r="AE897" s="470"/>
      <c r="AF897" s="470"/>
      <c r="AG897" s="470"/>
      <c r="AH897" s="470"/>
      <c r="AI897" s="470"/>
      <c r="AJ897" s="470"/>
      <c r="AK897" s="470"/>
      <c r="AL897" s="470"/>
      <c r="AM897" s="470"/>
      <c r="AN897" s="470"/>
    </row>
    <row r="898" spans="1:40" s="470" customFormat="1" ht="15.75" customHeight="1" x14ac:dyDescent="0.15">
      <c r="B898" s="95"/>
      <c r="C898" s="140"/>
      <c r="D898" s="95"/>
      <c r="E898" s="141"/>
      <c r="F898" s="94"/>
      <c r="G898" s="505"/>
      <c r="H898" s="463" t="str">
        <f t="shared" si="1068"/>
        <v/>
      </c>
      <c r="I898" s="451"/>
      <c r="J898" s="506"/>
      <c r="K898" s="507"/>
      <c r="L898" s="506"/>
      <c r="M898" s="507"/>
      <c r="N898" s="507"/>
      <c r="O898" s="507"/>
      <c r="P898" s="508"/>
      <c r="Q898" s="512"/>
      <c r="R898" s="534"/>
      <c r="S898" s="131"/>
      <c r="T898" s="470" t="str">
        <f t="shared" si="1065"/>
        <v/>
      </c>
      <c r="W898" s="471">
        <f t="shared" ref="W898:X898" si="1082">W897</f>
        <v>35</v>
      </c>
      <c r="X898" s="471" t="e">
        <f t="shared" si="1082"/>
        <v>#REF!</v>
      </c>
      <c r="Y898" s="471" t="e">
        <f t="shared" si="1046"/>
        <v>#REF!</v>
      </c>
      <c r="Z898" s="471"/>
      <c r="AA898" s="471"/>
    </row>
    <row r="899" spans="1:40" s="470" customFormat="1" ht="15.75" customHeight="1" x14ac:dyDescent="0.15">
      <c r="B899" s="95"/>
      <c r="C899" s="140"/>
      <c r="D899" s="95"/>
      <c r="E899" s="141"/>
      <c r="F899" s="94"/>
      <c r="G899" s="505"/>
      <c r="H899" s="463" t="str">
        <f t="shared" si="1068"/>
        <v/>
      </c>
      <c r="I899" s="451"/>
      <c r="J899" s="506"/>
      <c r="K899" s="507"/>
      <c r="L899" s="506"/>
      <c r="M899" s="507"/>
      <c r="N899" s="507"/>
      <c r="O899" s="507"/>
      <c r="P899" s="508"/>
      <c r="Q899" s="512"/>
      <c r="R899" s="534"/>
      <c r="S899" s="131"/>
      <c r="T899" s="470" t="str">
        <f t="shared" si="1065"/>
        <v/>
      </c>
      <c r="W899" s="471">
        <f t="shared" ref="W899:X899" si="1083">W898</f>
        <v>35</v>
      </c>
      <c r="X899" s="471" t="e">
        <f t="shared" si="1083"/>
        <v>#REF!</v>
      </c>
      <c r="Y899" s="471" t="e">
        <f t="shared" si="1046"/>
        <v>#REF!</v>
      </c>
      <c r="Z899" s="471"/>
      <c r="AA899" s="471"/>
      <c r="AB899" s="457"/>
    </row>
    <row r="900" spans="1:40" s="470" customFormat="1" ht="15.75" customHeight="1" x14ac:dyDescent="0.15">
      <c r="B900" s="95"/>
      <c r="C900" s="140"/>
      <c r="D900" s="95"/>
      <c r="E900" s="141"/>
      <c r="F900" s="94"/>
      <c r="G900" s="505"/>
      <c r="H900" s="463" t="str">
        <f t="shared" si="1068"/>
        <v/>
      </c>
      <c r="I900" s="451"/>
      <c r="J900" s="506"/>
      <c r="K900" s="507"/>
      <c r="L900" s="506"/>
      <c r="M900" s="507"/>
      <c r="N900" s="507"/>
      <c r="O900" s="507"/>
      <c r="P900" s="508"/>
      <c r="Q900" s="512"/>
      <c r="R900" s="534"/>
      <c r="S900" s="131"/>
      <c r="T900" s="470" t="str">
        <f t="shared" si="1065"/>
        <v/>
      </c>
      <c r="W900" s="471">
        <f t="shared" ref="W900:X900" si="1084">W899</f>
        <v>35</v>
      </c>
      <c r="X900" s="471" t="e">
        <f t="shared" si="1084"/>
        <v>#REF!</v>
      </c>
      <c r="Y900" s="471" t="e">
        <f t="shared" si="1046"/>
        <v>#REF!</v>
      </c>
      <c r="Z900" s="471"/>
      <c r="AA900" s="471"/>
    </row>
    <row r="901" spans="1:40" s="470" customFormat="1" ht="15.75" customHeight="1" x14ac:dyDescent="0.15">
      <c r="B901" s="95"/>
      <c r="C901" s="140"/>
      <c r="D901" s="95"/>
      <c r="E901" s="141"/>
      <c r="F901" s="94"/>
      <c r="G901" s="505"/>
      <c r="H901" s="463" t="str">
        <f t="shared" si="1068"/>
        <v/>
      </c>
      <c r="I901" s="451"/>
      <c r="J901" s="506"/>
      <c r="K901" s="507"/>
      <c r="L901" s="506"/>
      <c r="M901" s="507"/>
      <c r="N901" s="507"/>
      <c r="O901" s="507"/>
      <c r="P901" s="508"/>
      <c r="Q901" s="512"/>
      <c r="R901" s="534"/>
      <c r="S901" s="131"/>
      <c r="T901" s="470" t="str">
        <f t="shared" si="1065"/>
        <v/>
      </c>
      <c r="W901" s="471">
        <f t="shared" ref="W901:X901" si="1085">W900</f>
        <v>35</v>
      </c>
      <c r="X901" s="471" t="e">
        <f t="shared" si="1085"/>
        <v>#REF!</v>
      </c>
      <c r="Y901" s="471" t="e">
        <f t="shared" si="1046"/>
        <v>#REF!</v>
      </c>
      <c r="Z901" s="471"/>
      <c r="AA901" s="471"/>
    </row>
    <row r="902" spans="1:40" s="470" customFormat="1" ht="15.75" customHeight="1" x14ac:dyDescent="0.15">
      <c r="B902" s="95"/>
      <c r="C902" s="140"/>
      <c r="D902" s="95"/>
      <c r="E902" s="141"/>
      <c r="F902" s="94"/>
      <c r="G902" s="505"/>
      <c r="H902" s="463" t="str">
        <f t="shared" si="1068"/>
        <v/>
      </c>
      <c r="I902" s="451"/>
      <c r="J902" s="506"/>
      <c r="K902" s="507"/>
      <c r="L902" s="506"/>
      <c r="M902" s="507"/>
      <c r="N902" s="507"/>
      <c r="O902" s="507"/>
      <c r="P902" s="508"/>
      <c r="Q902" s="512"/>
      <c r="R902" s="534"/>
      <c r="S902" s="131"/>
      <c r="T902" s="470" t="str">
        <f t="shared" si="1065"/>
        <v/>
      </c>
      <c r="W902" s="471">
        <f t="shared" ref="W902:X902" si="1086">W901</f>
        <v>35</v>
      </c>
      <c r="X902" s="471" t="e">
        <f t="shared" si="1086"/>
        <v>#REF!</v>
      </c>
      <c r="Y902" s="471" t="e">
        <f t="shared" si="1046"/>
        <v>#REF!</v>
      </c>
      <c r="Z902" s="471"/>
      <c r="AA902" s="471"/>
    </row>
    <row r="903" spans="1:40" s="470" customFormat="1" ht="15.75" customHeight="1" x14ac:dyDescent="0.15">
      <c r="B903" s="95"/>
      <c r="C903" s="140"/>
      <c r="D903" s="95"/>
      <c r="E903" s="141"/>
      <c r="F903" s="94"/>
      <c r="G903" s="505"/>
      <c r="H903" s="463" t="str">
        <f t="shared" si="1068"/>
        <v/>
      </c>
      <c r="I903" s="451"/>
      <c r="J903" s="506"/>
      <c r="K903" s="507"/>
      <c r="L903" s="506"/>
      <c r="M903" s="507"/>
      <c r="N903" s="507"/>
      <c r="O903" s="507"/>
      <c r="P903" s="508"/>
      <c r="Q903" s="512"/>
      <c r="R903" s="534"/>
      <c r="S903" s="131"/>
      <c r="T903" s="470" t="str">
        <f t="shared" si="1065"/>
        <v/>
      </c>
      <c r="W903" s="471">
        <f t="shared" ref="W903:X903" si="1087">W902</f>
        <v>35</v>
      </c>
      <c r="X903" s="471" t="e">
        <f t="shared" si="1087"/>
        <v>#REF!</v>
      </c>
      <c r="Y903" s="471" t="e">
        <f t="shared" si="1046"/>
        <v>#REF!</v>
      </c>
      <c r="Z903" s="471"/>
      <c r="AA903" s="471"/>
    </row>
    <row r="904" spans="1:40" s="470" customFormat="1" ht="15.75" customHeight="1" x14ac:dyDescent="0.15">
      <c r="B904" s="95"/>
      <c r="C904" s="140"/>
      <c r="D904" s="95"/>
      <c r="E904" s="141"/>
      <c r="F904" s="94"/>
      <c r="G904" s="505"/>
      <c r="H904" s="463" t="str">
        <f t="shared" si="1068"/>
        <v/>
      </c>
      <c r="I904" s="451"/>
      <c r="J904" s="506"/>
      <c r="K904" s="507"/>
      <c r="L904" s="506"/>
      <c r="M904" s="507"/>
      <c r="N904" s="507"/>
      <c r="O904" s="507"/>
      <c r="P904" s="508"/>
      <c r="Q904" s="512"/>
      <c r="R904" s="534"/>
      <c r="S904" s="131"/>
      <c r="T904" s="470" t="str">
        <f t="shared" si="1065"/>
        <v/>
      </c>
      <c r="W904" s="471">
        <f t="shared" ref="W904:X904" si="1088">W903</f>
        <v>35</v>
      </c>
      <c r="X904" s="471" t="e">
        <f t="shared" si="1088"/>
        <v>#REF!</v>
      </c>
      <c r="Y904" s="471" t="e">
        <f t="shared" si="1046"/>
        <v>#REF!</v>
      </c>
      <c r="Z904" s="471"/>
      <c r="AA904" s="471"/>
    </row>
    <row r="905" spans="1:40" s="470" customFormat="1" ht="15.75" customHeight="1" x14ac:dyDescent="0.15">
      <c r="B905" s="95"/>
      <c r="C905" s="140"/>
      <c r="D905" s="95"/>
      <c r="E905" s="141"/>
      <c r="F905" s="94"/>
      <c r="G905" s="505"/>
      <c r="H905" s="463" t="str">
        <f t="shared" si="1068"/>
        <v/>
      </c>
      <c r="I905" s="451"/>
      <c r="J905" s="506"/>
      <c r="K905" s="507"/>
      <c r="L905" s="506"/>
      <c r="M905" s="507"/>
      <c r="N905" s="507"/>
      <c r="O905" s="507"/>
      <c r="P905" s="508"/>
      <c r="Q905" s="512"/>
      <c r="R905" s="534"/>
      <c r="S905" s="131"/>
      <c r="T905" s="470" t="str">
        <f t="shared" si="1065"/>
        <v/>
      </c>
      <c r="W905" s="471">
        <f t="shared" ref="W905:X905" si="1089">W904</f>
        <v>35</v>
      </c>
      <c r="X905" s="471" t="e">
        <f t="shared" si="1089"/>
        <v>#REF!</v>
      </c>
      <c r="Y905" s="471" t="e">
        <f t="shared" si="1046"/>
        <v>#REF!</v>
      </c>
      <c r="Z905" s="471"/>
      <c r="AA905" s="471"/>
    </row>
    <row r="906" spans="1:40" s="470" customFormat="1" ht="15.75" customHeight="1" x14ac:dyDescent="0.15">
      <c r="B906" s="95"/>
      <c r="C906" s="140"/>
      <c r="D906" s="95"/>
      <c r="E906" s="141"/>
      <c r="F906" s="94"/>
      <c r="G906" s="505"/>
      <c r="H906" s="463" t="str">
        <f t="shared" si="1068"/>
        <v/>
      </c>
      <c r="I906" s="451"/>
      <c r="J906" s="506"/>
      <c r="K906" s="507"/>
      <c r="L906" s="506"/>
      <c r="M906" s="507"/>
      <c r="N906" s="507"/>
      <c r="O906" s="507"/>
      <c r="P906" s="508"/>
      <c r="Q906" s="512"/>
      <c r="R906" s="534"/>
      <c r="S906" s="131"/>
      <c r="T906" s="470" t="str">
        <f t="shared" si="1065"/>
        <v/>
      </c>
      <c r="W906" s="471">
        <f t="shared" ref="W906:X906" si="1090">W905</f>
        <v>35</v>
      </c>
      <c r="X906" s="471" t="e">
        <f t="shared" si="1090"/>
        <v>#REF!</v>
      </c>
      <c r="Y906" s="471" t="e">
        <f t="shared" si="1046"/>
        <v>#REF!</v>
      </c>
      <c r="Z906" s="471"/>
      <c r="AA906" s="471"/>
    </row>
    <row r="907" spans="1:40" s="470" customFormat="1" ht="15.75" customHeight="1" x14ac:dyDescent="0.15">
      <c r="B907" s="95"/>
      <c r="C907" s="140"/>
      <c r="D907" s="95"/>
      <c r="E907" s="141"/>
      <c r="F907" s="94"/>
      <c r="G907" s="505"/>
      <c r="H907" s="463" t="str">
        <f t="shared" si="1068"/>
        <v/>
      </c>
      <c r="I907" s="451"/>
      <c r="J907" s="506"/>
      <c r="K907" s="507"/>
      <c r="L907" s="506"/>
      <c r="M907" s="507"/>
      <c r="N907" s="507"/>
      <c r="O907" s="507"/>
      <c r="P907" s="508"/>
      <c r="Q907" s="512"/>
      <c r="R907" s="513"/>
      <c r="S907" s="131"/>
      <c r="T907" s="470" t="str">
        <f t="shared" si="1065"/>
        <v/>
      </c>
      <c r="W907" s="471">
        <f t="shared" ref="W907:X907" si="1091">W906</f>
        <v>35</v>
      </c>
      <c r="X907" s="471" t="e">
        <f t="shared" si="1091"/>
        <v>#REF!</v>
      </c>
      <c r="Y907" s="471" t="e">
        <f t="shared" si="1046"/>
        <v>#REF!</v>
      </c>
      <c r="Z907" s="471"/>
      <c r="AA907" s="471"/>
    </row>
    <row r="908" spans="1:40" s="470" customFormat="1" ht="15.75" customHeight="1" x14ac:dyDescent="0.15">
      <c r="B908" s="514" t="s">
        <v>346</v>
      </c>
      <c r="C908" s="515"/>
      <c r="D908" s="516"/>
      <c r="E908" s="517"/>
      <c r="F908" s="518"/>
      <c r="G908" s="519"/>
      <c r="H908" s="463" t="str">
        <f t="shared" si="1068"/>
        <v/>
      </c>
      <c r="I908" s="520">
        <f>목록!$B$41</f>
        <v>35</v>
      </c>
      <c r="J908" s="521"/>
      <c r="K908" s="522">
        <f>SUM(K894:K907)</f>
        <v>40262</v>
      </c>
      <c r="L908" s="521"/>
      <c r="M908" s="522">
        <f>SUM(M894:M907)</f>
        <v>6271</v>
      </c>
      <c r="N908" s="521"/>
      <c r="O908" s="522">
        <f>SUM(O894:O907)</f>
        <v>0</v>
      </c>
      <c r="P908" s="523"/>
      <c r="Q908" s="512"/>
      <c r="R908" s="513"/>
      <c r="S908" s="524"/>
      <c r="T908" s="470" t="str">
        <f t="shared" si="1065"/>
        <v/>
      </c>
      <c r="W908" s="471">
        <f t="shared" ref="W908:X908" si="1092">W907</f>
        <v>35</v>
      </c>
      <c r="X908" s="471" t="e">
        <f t="shared" si="1092"/>
        <v>#REF!</v>
      </c>
      <c r="Y908" s="471" t="e">
        <f t="shared" si="1046"/>
        <v>#REF!</v>
      </c>
      <c r="Z908" s="471"/>
      <c r="AA908" s="471"/>
    </row>
    <row r="909" spans="1:40" s="470" customFormat="1" ht="15.75" customHeight="1" x14ac:dyDescent="0.15">
      <c r="B909" s="453"/>
      <c r="C909" s="209" t="s">
        <v>1033</v>
      </c>
      <c r="D909" s="95"/>
      <c r="E909" s="141"/>
      <c r="F909" s="94"/>
      <c r="G909" s="505"/>
      <c r="H909" s="463" t="str">
        <f t="shared" si="1068"/>
        <v>※ 실내건축표준품셈 수장-20</v>
      </c>
      <c r="I909" s="451"/>
      <c r="J909" s="506"/>
      <c r="K909" s="507"/>
      <c r="L909" s="506"/>
      <c r="M909" s="507"/>
      <c r="N909" s="507"/>
      <c r="O909" s="507"/>
      <c r="P909" s="508"/>
      <c r="Q909" s="512"/>
      <c r="R909" s="513"/>
      <c r="S909" s="131"/>
      <c r="T909" s="470" t="str">
        <f t="shared" si="1065"/>
        <v/>
      </c>
      <c r="W909" s="615">
        <f t="shared" ref="W909:X909" si="1093">W908</f>
        <v>35</v>
      </c>
      <c r="X909" s="471" t="e">
        <f t="shared" si="1093"/>
        <v>#REF!</v>
      </c>
      <c r="Y909" s="471" t="e">
        <f t="shared" si="1046"/>
        <v>#REF!</v>
      </c>
      <c r="Z909" s="471"/>
      <c r="AA909" s="471"/>
    </row>
    <row r="910" spans="1:40" s="470" customFormat="1" ht="15.75" customHeight="1" x14ac:dyDescent="0.15">
      <c r="A910" s="457"/>
      <c r="B910" s="453"/>
      <c r="C910" s="630" t="s">
        <v>1441</v>
      </c>
      <c r="D910" s="95"/>
      <c r="E910" s="141"/>
      <c r="F910" s="94"/>
      <c r="G910" s="505"/>
      <c r="H910" s="463" t="str">
        <f t="shared" si="1068"/>
        <v>※ 품셈상 필름 계상수량은 1.2㎡ 기준이지만 본품에선 1.1㎡를 계상함</v>
      </c>
      <c r="I910" s="451"/>
      <c r="J910" s="506"/>
      <c r="K910" s="507"/>
      <c r="L910" s="506"/>
      <c r="M910" s="507"/>
      <c r="N910" s="507"/>
      <c r="O910" s="507"/>
      <c r="P910" s="508"/>
      <c r="Q910" s="512"/>
      <c r="R910" s="513"/>
      <c r="S910" s="131"/>
      <c r="T910" s="470" t="str">
        <f t="shared" si="1065"/>
        <v/>
      </c>
      <c r="W910" s="471">
        <f t="shared" ref="W910:X910" si="1094">W909</f>
        <v>35</v>
      </c>
      <c r="X910" s="471" t="e">
        <f t="shared" si="1094"/>
        <v>#REF!</v>
      </c>
      <c r="Y910" s="471" t="e">
        <f t="shared" si="1046"/>
        <v>#REF!</v>
      </c>
      <c r="Z910" s="471"/>
      <c r="AA910" s="471"/>
    </row>
    <row r="911" spans="1:40" s="470" customFormat="1" ht="15.75" customHeight="1" x14ac:dyDescent="0.15">
      <c r="B911" s="514"/>
      <c r="C911" s="515"/>
      <c r="D911" s="516"/>
      <c r="E911" s="517"/>
      <c r="F911" s="518"/>
      <c r="G911" s="519"/>
      <c r="H911" s="463" t="str">
        <f t="shared" si="1068"/>
        <v/>
      </c>
      <c r="I911" s="520"/>
      <c r="J911" s="521"/>
      <c r="K911" s="522"/>
      <c r="L911" s="521"/>
      <c r="M911" s="522"/>
      <c r="N911" s="521"/>
      <c r="O911" s="522"/>
      <c r="P911" s="523"/>
      <c r="Q911" s="512"/>
      <c r="R911" s="513"/>
      <c r="S911" s="524"/>
      <c r="T911" s="470" t="str">
        <f t="shared" si="1065"/>
        <v/>
      </c>
      <c r="U911" s="457"/>
      <c r="W911" s="471">
        <f t="shared" ref="W911:X911" si="1095">W910</f>
        <v>35</v>
      </c>
      <c r="X911" s="471" t="e">
        <f t="shared" si="1095"/>
        <v>#REF!</v>
      </c>
      <c r="Y911" s="471" t="e">
        <f t="shared" si="1046"/>
        <v>#REF!</v>
      </c>
      <c r="Z911" s="471"/>
      <c r="AA911" s="471"/>
      <c r="AB911" s="457"/>
      <c r="AD911" s="457"/>
      <c r="AE911" s="457"/>
      <c r="AF911" s="457"/>
      <c r="AG911" s="457"/>
      <c r="AH911" s="457"/>
      <c r="AI911" s="457"/>
      <c r="AJ911" s="457"/>
      <c r="AK911" s="457"/>
      <c r="AL911" s="457"/>
      <c r="AM911" s="457"/>
      <c r="AN911" s="457"/>
    </row>
    <row r="912" spans="1:40" s="457" customFormat="1" ht="15.75" customHeight="1" x14ac:dyDescent="0.15">
      <c r="A912" s="470"/>
      <c r="C912" s="458"/>
      <c r="D912" s="459"/>
      <c r="E912" s="460"/>
      <c r="F912" s="461"/>
      <c r="G912" s="462"/>
      <c r="H912" s="463" t="str">
        <f t="shared" ref="H912:H937" si="1096">CONCATENATE(C912,E912,F912)</f>
        <v/>
      </c>
      <c r="I912" s="464"/>
      <c r="J912" s="465"/>
      <c r="K912" s="465"/>
      <c r="L912" s="465"/>
      <c r="M912" s="465"/>
      <c r="N912" s="465"/>
      <c r="O912" s="466"/>
      <c r="P912" s="467"/>
      <c r="Q912" s="468"/>
      <c r="R912" s="469"/>
      <c r="S912" s="467"/>
      <c r="T912" s="470" t="str">
        <f t="shared" ref="T912:T945" si="1097">CONCATENATE(Q912,R912)</f>
        <v/>
      </c>
      <c r="U912" s="470"/>
      <c r="V912" s="470"/>
      <c r="W912" s="533">
        <f t="shared" ref="W912" si="1098">I934</f>
        <v>36</v>
      </c>
      <c r="X912" s="533" t="e">
        <f>#REF!+1</f>
        <v>#REF!</v>
      </c>
      <c r="Y912" s="533" t="e">
        <f t="shared" ref="Y912:Y938" si="1099">X912-W912</f>
        <v>#REF!</v>
      </c>
      <c r="Z912" s="533"/>
      <c r="AA912" s="533"/>
      <c r="AC912" s="470"/>
      <c r="AD912" s="470"/>
      <c r="AE912" s="470"/>
      <c r="AF912" s="470"/>
      <c r="AG912" s="470"/>
      <c r="AH912" s="470"/>
      <c r="AI912" s="470"/>
      <c r="AJ912" s="470"/>
      <c r="AK912" s="470"/>
      <c r="AL912" s="470"/>
      <c r="AM912" s="470"/>
      <c r="AN912" s="470"/>
    </row>
    <row r="913" spans="1:40" s="470" customFormat="1" ht="15.75" customHeight="1" x14ac:dyDescent="0.15">
      <c r="A913" s="457"/>
      <c r="B913" s="473"/>
      <c r="C913" s="474" t="str">
        <f>"   항목번호 : "&amp;목록!L$42</f>
        <v xml:space="preserve">   항목번호 : 제36호표</v>
      </c>
      <c r="D913" s="475">
        <f>목록!B$43</f>
        <v>37</v>
      </c>
      <c r="E913" s="476"/>
      <c r="F913" s="477"/>
      <c r="G913" s="478"/>
      <c r="H913" s="463" t="str">
        <f t="shared" si="1096"/>
        <v xml:space="preserve">   항목번호 : 제36호표</v>
      </c>
      <c r="I913" s="479"/>
      <c r="J913" s="480"/>
      <c r="K913" s="481"/>
      <c r="L913" s="482"/>
      <c r="M913" s="482"/>
      <c r="N913" s="482"/>
      <c r="O913" s="466"/>
      <c r="P913" s="483"/>
      <c r="Q913" s="484"/>
      <c r="R913" s="485"/>
      <c r="S913" s="483"/>
      <c r="T913" s="470" t="str">
        <f t="shared" si="1097"/>
        <v/>
      </c>
      <c r="V913" s="551"/>
      <c r="W913" s="471">
        <f t="shared" ref="W913:X913" si="1100">W912</f>
        <v>36</v>
      </c>
      <c r="X913" s="471" t="e">
        <f t="shared" si="1100"/>
        <v>#REF!</v>
      </c>
      <c r="Y913" s="471" t="e">
        <f t="shared" si="1099"/>
        <v>#REF!</v>
      </c>
      <c r="Z913" s="471"/>
      <c r="AA913" s="471"/>
      <c r="AB913" s="457"/>
    </row>
    <row r="914" spans="1:40" s="470" customFormat="1" ht="15.75" customHeight="1" x14ac:dyDescent="0.15">
      <c r="A914" s="457"/>
      <c r="B914" s="473"/>
      <c r="C914" s="474" t="str">
        <f>"   공      종 : "&amp;목록!D$42</f>
        <v xml:space="preserve">   공      종 : LINE PUTTY(벽체)</v>
      </c>
      <c r="D914" s="484"/>
      <c r="E914" s="476"/>
      <c r="F914" s="473"/>
      <c r="G914" s="478"/>
      <c r="H914" s="463" t="str">
        <f t="shared" si="1096"/>
        <v xml:space="preserve">   공      종 : LINE PUTTY(벽체)</v>
      </c>
      <c r="I914" s="479"/>
      <c r="J914" s="480"/>
      <c r="K914" s="481"/>
      <c r="L914" s="482"/>
      <c r="M914" s="482"/>
      <c r="N914" s="482"/>
      <c r="O914" s="466"/>
      <c r="P914" s="483"/>
      <c r="Q914" s="484"/>
      <c r="R914" s="485"/>
      <c r="S914" s="483"/>
      <c r="T914" s="470" t="str">
        <f t="shared" si="1097"/>
        <v/>
      </c>
      <c r="U914" s="457"/>
      <c r="W914" s="471">
        <f t="shared" ref="W914:X914" si="1101">W913</f>
        <v>36</v>
      </c>
      <c r="X914" s="471" t="e">
        <f t="shared" si="1101"/>
        <v>#REF!</v>
      </c>
      <c r="Y914" s="471" t="e">
        <f t="shared" si="1099"/>
        <v>#REF!</v>
      </c>
      <c r="Z914" s="471"/>
      <c r="AA914" s="471"/>
      <c r="AB914" s="457"/>
      <c r="AC914" s="457"/>
      <c r="AD914" s="457"/>
      <c r="AE914" s="457"/>
      <c r="AF914" s="457"/>
      <c r="AG914" s="457"/>
      <c r="AH914" s="457"/>
      <c r="AI914" s="457"/>
      <c r="AJ914" s="457"/>
      <c r="AK914" s="457"/>
      <c r="AL914" s="457"/>
      <c r="AM914" s="457"/>
      <c r="AN914" s="457"/>
    </row>
    <row r="915" spans="1:40" s="457" customFormat="1" ht="15.75" customHeight="1" x14ac:dyDescent="0.15">
      <c r="B915" s="473"/>
      <c r="C915" s="474" t="str">
        <f xml:space="preserve"> "   규      격 : "&amp;목록!F$42</f>
        <v xml:space="preserve">   규      격 : 석고보드면, 합판면</v>
      </c>
      <c r="D915" s="484"/>
      <c r="E915" s="476"/>
      <c r="F915" s="473"/>
      <c r="G915" s="478"/>
      <c r="H915" s="463" t="str">
        <f t="shared" si="1096"/>
        <v xml:space="preserve">   규      격 : 석고보드면, 합판면</v>
      </c>
      <c r="I915" s="479"/>
      <c r="J915" s="480" t="s">
        <v>348</v>
      </c>
      <c r="K915" s="481"/>
      <c r="L915" s="482" t="s">
        <v>349</v>
      </c>
      <c r="M915" s="482"/>
      <c r="N915" s="482" t="s">
        <v>240</v>
      </c>
      <c r="O915" s="466"/>
      <c r="P915" s="483"/>
      <c r="Q915" s="484" t="s">
        <v>723</v>
      </c>
      <c r="R915" s="484"/>
      <c r="S915" s="483"/>
      <c r="T915" s="470" t="str">
        <f t="shared" si="1097"/>
        <v>합계</v>
      </c>
      <c r="V915" s="547"/>
      <c r="W915" s="471">
        <f t="shared" ref="W915:X915" si="1102">W914</f>
        <v>36</v>
      </c>
      <c r="X915" s="471" t="e">
        <f t="shared" si="1102"/>
        <v>#REF!</v>
      </c>
      <c r="Y915" s="471" t="e">
        <f t="shared" si="1099"/>
        <v>#REF!</v>
      </c>
      <c r="Z915" s="471"/>
      <c r="AA915" s="471"/>
    </row>
    <row r="916" spans="1:40" s="457" customFormat="1" ht="15.75" customHeight="1" x14ac:dyDescent="0.15">
      <c r="B916" s="473"/>
      <c r="C916" s="474" t="str">
        <f>"   단      위 : "&amp;목록!G$42</f>
        <v xml:space="preserve">   단      위 : ㎡</v>
      </c>
      <c r="D916" s="484"/>
      <c r="E916" s="476"/>
      <c r="F916" s="473"/>
      <c r="G916" s="478"/>
      <c r="H916" s="463" t="str">
        <f t="shared" si="1096"/>
        <v xml:space="preserve">   단      위 : ㎡</v>
      </c>
      <c r="I916" s="479"/>
      <c r="J916" s="486">
        <f>K934</f>
        <v>1762</v>
      </c>
      <c r="K916" s="481"/>
      <c r="L916" s="487">
        <f>M934</f>
        <v>6271</v>
      </c>
      <c r="M916" s="482"/>
      <c r="N916" s="482">
        <f>O934</f>
        <v>0</v>
      </c>
      <c r="O916" s="466"/>
      <c r="P916" s="483"/>
      <c r="Q916" s="488">
        <f>J916+L916+N916</f>
        <v>8033</v>
      </c>
      <c r="R916" s="489"/>
      <c r="S916" s="483"/>
      <c r="T916" s="470" t="str">
        <f t="shared" si="1097"/>
        <v>8033</v>
      </c>
      <c r="V916" s="547"/>
      <c r="W916" s="471">
        <f t="shared" ref="W916:X916" si="1103">W915</f>
        <v>36</v>
      </c>
      <c r="X916" s="471" t="e">
        <f t="shared" si="1103"/>
        <v>#REF!</v>
      </c>
      <c r="Y916" s="471" t="e">
        <f t="shared" si="1099"/>
        <v>#REF!</v>
      </c>
      <c r="Z916" s="471"/>
      <c r="AA916" s="471"/>
      <c r="AB916" s="470"/>
    </row>
    <row r="917" spans="1:40" s="457" customFormat="1" ht="15.75" customHeight="1" x14ac:dyDescent="0.15">
      <c r="B917" s="473"/>
      <c r="C917" s="474"/>
      <c r="D917" s="484"/>
      <c r="E917" s="476"/>
      <c r="F917" s="473"/>
      <c r="G917" s="490"/>
      <c r="H917" s="463" t="str">
        <f t="shared" si="1096"/>
        <v/>
      </c>
      <c r="I917" s="491"/>
      <c r="J917" s="482"/>
      <c r="K917" s="465"/>
      <c r="L917" s="482"/>
      <c r="M917" s="482"/>
      <c r="N917" s="482"/>
      <c r="O917" s="466"/>
      <c r="P917" s="492"/>
      <c r="Q917" s="493"/>
      <c r="R917" s="485"/>
      <c r="S917" s="492"/>
      <c r="T917" s="470" t="str">
        <f t="shared" si="1097"/>
        <v/>
      </c>
      <c r="V917" s="547"/>
      <c r="W917" s="471">
        <f t="shared" ref="W917:X917" si="1104">W916</f>
        <v>36</v>
      </c>
      <c r="X917" s="471" t="e">
        <f t="shared" si="1104"/>
        <v>#REF!</v>
      </c>
      <c r="Y917" s="471" t="e">
        <f t="shared" si="1099"/>
        <v>#REF!</v>
      </c>
      <c r="Z917" s="471"/>
      <c r="AA917" s="471"/>
      <c r="AB917" s="470"/>
    </row>
    <row r="918" spans="1:40" s="457" customFormat="1" ht="15.75" customHeight="1" x14ac:dyDescent="0.15">
      <c r="B918" s="899" t="s">
        <v>375</v>
      </c>
      <c r="C918" s="900"/>
      <c r="D918" s="915" t="s">
        <v>356</v>
      </c>
      <c r="E918" s="908"/>
      <c r="F918" s="903" t="s">
        <v>765</v>
      </c>
      <c r="G918" s="913" t="s">
        <v>786</v>
      </c>
      <c r="H918" s="463" t="str">
        <f t="shared" si="1096"/>
        <v>단위</v>
      </c>
      <c r="I918" s="579"/>
      <c r="J918" s="495" t="s">
        <v>348</v>
      </c>
      <c r="K918" s="496"/>
      <c r="L918" s="495" t="s">
        <v>349</v>
      </c>
      <c r="M918" s="496"/>
      <c r="N918" s="497" t="s">
        <v>240</v>
      </c>
      <c r="O918" s="497"/>
      <c r="P918" s="498"/>
      <c r="Q918" s="744" t="s">
        <v>355</v>
      </c>
      <c r="R918" s="744"/>
      <c r="S918" s="499"/>
      <c r="T918" s="470" t="str">
        <f t="shared" si="1097"/>
        <v>비  고</v>
      </c>
      <c r="V918" s="547"/>
      <c r="W918" s="471">
        <f t="shared" ref="W918:X918" si="1105">W917</f>
        <v>36</v>
      </c>
      <c r="X918" s="471" t="e">
        <f t="shared" si="1105"/>
        <v>#REF!</v>
      </c>
      <c r="Y918" s="471" t="e">
        <f t="shared" si="1099"/>
        <v>#REF!</v>
      </c>
      <c r="Z918" s="471"/>
      <c r="AA918" s="471"/>
      <c r="AB918" s="470"/>
    </row>
    <row r="919" spans="1:40" s="457" customFormat="1" ht="15.75" customHeight="1" x14ac:dyDescent="0.15">
      <c r="B919" s="901"/>
      <c r="C919" s="902"/>
      <c r="D919" s="916"/>
      <c r="E919" s="910"/>
      <c r="F919" s="904"/>
      <c r="G919" s="914"/>
      <c r="H919" s="463" t="str">
        <f t="shared" si="1096"/>
        <v/>
      </c>
      <c r="I919" s="580"/>
      <c r="J919" s="501" t="s">
        <v>353</v>
      </c>
      <c r="K919" s="501" t="s">
        <v>354</v>
      </c>
      <c r="L919" s="501" t="s">
        <v>353</v>
      </c>
      <c r="M919" s="581" t="s">
        <v>354</v>
      </c>
      <c r="N919" s="501" t="s">
        <v>353</v>
      </c>
      <c r="O919" s="501" t="s">
        <v>354</v>
      </c>
      <c r="P919" s="503"/>
      <c r="Q919" s="745"/>
      <c r="R919" s="745"/>
      <c r="S919" s="504"/>
      <c r="T919" s="470" t="str">
        <f t="shared" si="1097"/>
        <v/>
      </c>
      <c r="V919" s="547"/>
      <c r="W919" s="471">
        <f t="shared" ref="W919:X919" si="1106">W918</f>
        <v>36</v>
      </c>
      <c r="X919" s="471" t="e">
        <f t="shared" si="1106"/>
        <v>#REF!</v>
      </c>
      <c r="Y919" s="471" t="e">
        <f t="shared" si="1099"/>
        <v>#REF!</v>
      </c>
      <c r="Z919" s="471"/>
      <c r="AA919" s="471"/>
      <c r="AB919" s="470"/>
    </row>
    <row r="920" spans="1:40" s="457" customFormat="1" ht="15.75" customHeight="1" x14ac:dyDescent="0.15">
      <c r="A920" s="547"/>
      <c r="B920" s="95"/>
      <c r="C920" s="140" t="s">
        <v>914</v>
      </c>
      <c r="D920" s="95"/>
      <c r="E920" s="141"/>
      <c r="F920" s="96" t="s">
        <v>771</v>
      </c>
      <c r="G920" s="505">
        <v>1.52</v>
      </c>
      <c r="H920" s="463" t="str">
        <f t="shared" si="1096"/>
        <v>석면테이프m</v>
      </c>
      <c r="I920" s="451" t="str">
        <f t="shared" ref="I920:I926" si="1107">CONCATENATE(C920,E920,F920)</f>
        <v>석면테이프m</v>
      </c>
      <c r="J920" s="506">
        <f>IF(OR($F920="인",$F920=""),"",VLOOKUP($H920,단가!$A:$S,19,FALSE))</f>
        <v>367</v>
      </c>
      <c r="K920" s="507">
        <f t="shared" ref="K920:K926" si="1108">IF(J920="","",TRUNC($G920*J920,0))</f>
        <v>557</v>
      </c>
      <c r="L920" s="506" t="str">
        <f>IF($F920="인",VLOOKUP($C:$C,노임!$C:$G,4,FALSE),"")</f>
        <v/>
      </c>
      <c r="M920" s="507" t="str">
        <f t="shared" ref="M920:M925" si="1109">IF(L920="","",TRUNC($G920*L920,0))</f>
        <v/>
      </c>
      <c r="N920" s="507"/>
      <c r="O920" s="507" t="str">
        <f t="shared" ref="O920:O925" si="1110">IF(N920="","",TRUNC($G920*N920,0))</f>
        <v/>
      </c>
      <c r="P920" s="508"/>
      <c r="Q920" s="509" t="str">
        <f>IF(F920="인","노임"&amp;VLOOKUP($C:$C,노임!C:G,5,FALSE)&amp;"번","단가"&amp;VLOOKUP($H:$H,단가!$A:$B,2,FALSE)&amp;"번")</f>
        <v>단가74번</v>
      </c>
      <c r="R920" s="510"/>
      <c r="S920" s="131"/>
      <c r="T920" s="470" t="str">
        <f t="shared" si="1097"/>
        <v>단가74번</v>
      </c>
      <c r="V920" s="548"/>
      <c r="W920" s="471">
        <f t="shared" ref="W920:X920" si="1111">W919</f>
        <v>36</v>
      </c>
      <c r="X920" s="471" t="e">
        <f t="shared" si="1111"/>
        <v>#REF!</v>
      </c>
      <c r="Y920" s="471" t="e">
        <f t="shared" si="1099"/>
        <v>#REF!</v>
      </c>
      <c r="Z920" s="471"/>
      <c r="AA920" s="471"/>
      <c r="AB920" s="470"/>
    </row>
    <row r="921" spans="1:40" s="457" customFormat="1" ht="15.75" customHeight="1" x14ac:dyDescent="0.15">
      <c r="A921" s="547"/>
      <c r="B921" s="95"/>
      <c r="C921" s="143" t="s">
        <v>915</v>
      </c>
      <c r="D921" s="142"/>
      <c r="E921" s="97" t="s">
        <v>916</v>
      </c>
      <c r="F921" s="564" t="s">
        <v>861</v>
      </c>
      <c r="G921" s="505">
        <v>0.32500000000000001</v>
      </c>
      <c r="H921" s="463" t="str">
        <f t="shared" si="1096"/>
        <v>휠러외부용Kg</v>
      </c>
      <c r="I921" s="451" t="str">
        <f t="shared" si="1107"/>
        <v>휠러외부용Kg</v>
      </c>
      <c r="J921" s="506">
        <f>IF(OR($F921="인",$F921=""),"",VLOOKUP($H921,단가!$A:$S,19,FALSE))</f>
        <v>1650</v>
      </c>
      <c r="K921" s="507">
        <f t="shared" si="1108"/>
        <v>536</v>
      </c>
      <c r="L921" s="506" t="str">
        <f>IF($F921="인",VLOOKUP($C:$C,노임!$C:$G,4,FALSE),"")</f>
        <v/>
      </c>
      <c r="M921" s="507" t="str">
        <f t="shared" si="1109"/>
        <v/>
      </c>
      <c r="N921" s="507"/>
      <c r="O921" s="507" t="str">
        <f t="shared" si="1110"/>
        <v/>
      </c>
      <c r="P921" s="508"/>
      <c r="Q921" s="509" t="str">
        <f>IF(F921="인","노임"&amp;VLOOKUP($C:$C,노임!C:G,5,FALSE)&amp;"번","단가"&amp;VLOOKUP($H:$H,단가!$A:$B,2,FALSE)&amp;"번")</f>
        <v>단가40번</v>
      </c>
      <c r="R921" s="510"/>
      <c r="S921" s="131"/>
      <c r="T921" s="470" t="str">
        <f t="shared" si="1097"/>
        <v>단가40번</v>
      </c>
      <c r="V921" s="548"/>
      <c r="W921" s="471">
        <f t="shared" ref="W921:X921" si="1112">W920</f>
        <v>36</v>
      </c>
      <c r="X921" s="471" t="e">
        <f t="shared" si="1112"/>
        <v>#REF!</v>
      </c>
      <c r="Y921" s="471" t="e">
        <f t="shared" si="1099"/>
        <v>#REF!</v>
      </c>
      <c r="Z921" s="471"/>
      <c r="AA921" s="471"/>
      <c r="AB921" s="470"/>
    </row>
    <row r="922" spans="1:40" s="457" customFormat="1" ht="15.75" customHeight="1" x14ac:dyDescent="0.15">
      <c r="A922" s="470"/>
      <c r="B922" s="95"/>
      <c r="C922" s="204" t="s">
        <v>828</v>
      </c>
      <c r="D922" s="205"/>
      <c r="E922" s="206" t="s">
        <v>829</v>
      </c>
      <c r="F922" s="207" t="s">
        <v>800</v>
      </c>
      <c r="G922" s="505">
        <f>0.453</f>
        <v>0.45300000000000001</v>
      </c>
      <c r="H922" s="463" t="str">
        <f t="shared" si="1096"/>
        <v>퍼티핸디택스(인테리어전용)Kg</v>
      </c>
      <c r="I922" s="451" t="str">
        <f t="shared" si="1107"/>
        <v>퍼티핸디택스(인테리어전용)Kg</v>
      </c>
      <c r="J922" s="506">
        <f>IF(OR($F922="인",$F922=""),"",VLOOKUP($H922,단가!$A:$S,19,FALSE))</f>
        <v>1150</v>
      </c>
      <c r="K922" s="507">
        <f t="shared" si="1108"/>
        <v>520</v>
      </c>
      <c r="L922" s="506" t="str">
        <f>IF($F922="인",VLOOKUP($C:$C,노임!$C:$G,4,FALSE),"")</f>
        <v/>
      </c>
      <c r="M922" s="507" t="str">
        <f t="shared" si="1109"/>
        <v/>
      </c>
      <c r="N922" s="507"/>
      <c r="O922" s="507" t="str">
        <f t="shared" si="1110"/>
        <v/>
      </c>
      <c r="P922" s="508"/>
      <c r="Q922" s="509" t="str">
        <f>IF(F922="인","노임"&amp;VLOOKUP($C:$C,노임!C:G,5,FALSE)&amp;"번","단가"&amp;VLOOKUP($H:$H,단가!$A:$B,2,FALSE)&amp;"번")</f>
        <v>단가39번</v>
      </c>
      <c r="R922" s="510"/>
      <c r="S922" s="131"/>
      <c r="T922" s="470" t="str">
        <f t="shared" si="1097"/>
        <v>단가39번</v>
      </c>
      <c r="V922" s="549"/>
      <c r="W922" s="471">
        <f t="shared" ref="W922:X922" si="1113">W921</f>
        <v>36</v>
      </c>
      <c r="X922" s="471" t="e">
        <f t="shared" si="1113"/>
        <v>#REF!</v>
      </c>
      <c r="Y922" s="471" t="e">
        <f t="shared" si="1099"/>
        <v>#REF!</v>
      </c>
      <c r="Z922" s="471"/>
      <c r="AA922" s="471"/>
      <c r="AB922" s="470"/>
      <c r="AD922" s="470"/>
      <c r="AE922" s="470"/>
    </row>
    <row r="923" spans="1:40" s="457" customFormat="1" ht="15.75" customHeight="1" x14ac:dyDescent="0.15">
      <c r="A923" s="470"/>
      <c r="B923" s="95"/>
      <c r="C923" s="140" t="s">
        <v>830</v>
      </c>
      <c r="D923" s="95"/>
      <c r="E923" s="141" t="s">
        <v>831</v>
      </c>
      <c r="F923" s="96" t="s">
        <v>812</v>
      </c>
      <c r="G923" s="505">
        <f>0.123</f>
        <v>0.123</v>
      </c>
      <c r="H923" s="463" t="str">
        <f t="shared" si="1096"/>
        <v>연마지#120매</v>
      </c>
      <c r="I923" s="451" t="str">
        <f t="shared" si="1107"/>
        <v>연마지#120매</v>
      </c>
      <c r="J923" s="506">
        <f>IF(OR($F923="인",$F923=""),"",VLOOKUP($H923,단가!$A:$S,19,FALSE))</f>
        <v>200</v>
      </c>
      <c r="K923" s="507">
        <f t="shared" si="1108"/>
        <v>24</v>
      </c>
      <c r="L923" s="506" t="str">
        <f>IF($F923="인",VLOOKUP($C:$C,노임!$C:$G,4,FALSE),"")</f>
        <v/>
      </c>
      <c r="M923" s="507" t="str">
        <f t="shared" si="1109"/>
        <v/>
      </c>
      <c r="N923" s="507"/>
      <c r="O923" s="507" t="str">
        <f t="shared" si="1110"/>
        <v/>
      </c>
      <c r="P923" s="508"/>
      <c r="Q923" s="509" t="str">
        <f>IF(F923="인","노임"&amp;VLOOKUP($C:$C,노임!C:G,5,FALSE)&amp;"번","단가"&amp;VLOOKUP($H:$H,단가!$A:$B,2,FALSE)&amp;"번")</f>
        <v>단가57번</v>
      </c>
      <c r="R923" s="510"/>
      <c r="S923" s="131"/>
      <c r="T923" s="470" t="str">
        <f t="shared" si="1097"/>
        <v>단가57번</v>
      </c>
      <c r="U923" s="470"/>
      <c r="V923" s="549"/>
      <c r="W923" s="471">
        <f t="shared" ref="W923:X923" si="1114">W922</f>
        <v>36</v>
      </c>
      <c r="X923" s="471" t="e">
        <f t="shared" si="1114"/>
        <v>#REF!</v>
      </c>
      <c r="Y923" s="471" t="e">
        <f t="shared" si="1099"/>
        <v>#REF!</v>
      </c>
      <c r="Z923" s="471"/>
      <c r="AA923" s="471"/>
      <c r="AB923" s="470"/>
      <c r="AC923" s="470"/>
      <c r="AD923" s="470"/>
      <c r="AE923" s="470"/>
      <c r="AF923" s="470"/>
      <c r="AG923" s="470"/>
      <c r="AH923" s="470"/>
      <c r="AI923" s="470"/>
      <c r="AJ923" s="470"/>
      <c r="AK923" s="470"/>
      <c r="AL923" s="470"/>
      <c r="AM923" s="470"/>
      <c r="AN923" s="470"/>
    </row>
    <row r="924" spans="1:40" s="470" customFormat="1" ht="15.75" customHeight="1" x14ac:dyDescent="0.15">
      <c r="B924" s="95"/>
      <c r="C924" s="140" t="s">
        <v>817</v>
      </c>
      <c r="D924" s="95"/>
      <c r="E924" s="141"/>
      <c r="F924" s="96" t="s">
        <v>750</v>
      </c>
      <c r="G924" s="505">
        <f>0.035</f>
        <v>3.5000000000000003E-2</v>
      </c>
      <c r="H924" s="463" t="str">
        <f t="shared" si="1096"/>
        <v>도장공인</v>
      </c>
      <c r="I924" s="451" t="str">
        <f t="shared" si="1107"/>
        <v>도장공인</v>
      </c>
      <c r="J924" s="506" t="str">
        <f>IF(OR($F924="인",$F924=""),"",VLOOKUP($H924,단가!$A:$S,19,FALSE))</f>
        <v/>
      </c>
      <c r="K924" s="507" t="str">
        <f t="shared" si="1108"/>
        <v/>
      </c>
      <c r="L924" s="506">
        <f>IF($F924="인",VLOOKUP($C:$C,노임!$C:$G,4,FALSE),"")</f>
        <v>148659</v>
      </c>
      <c r="M924" s="507">
        <f t="shared" si="1109"/>
        <v>5203</v>
      </c>
      <c r="N924" s="507"/>
      <c r="O924" s="507" t="str">
        <f t="shared" si="1110"/>
        <v/>
      </c>
      <c r="P924" s="508"/>
      <c r="Q924" s="509" t="str">
        <f>IF(F924="인","노임"&amp;VLOOKUP($C:$C,노임!C:G,5,FALSE)&amp;"번","단가"&amp;VLOOKUP($H:$H,단가!$A:$B,2,FALSE)&amp;"번")</f>
        <v>노임1029번</v>
      </c>
      <c r="R924" s="510"/>
      <c r="S924" s="131"/>
      <c r="T924" s="470" t="str">
        <f t="shared" si="1097"/>
        <v>노임1029번</v>
      </c>
      <c r="V924" s="549"/>
      <c r="W924" s="471">
        <f t="shared" ref="W924:X924" si="1115">W923</f>
        <v>36</v>
      </c>
      <c r="X924" s="471" t="e">
        <f t="shared" si="1115"/>
        <v>#REF!</v>
      </c>
      <c r="Y924" s="471" t="e">
        <f t="shared" si="1099"/>
        <v>#REF!</v>
      </c>
      <c r="Z924" s="471"/>
      <c r="AA924" s="471"/>
    </row>
    <row r="925" spans="1:40" s="470" customFormat="1" ht="15.75" customHeight="1" x14ac:dyDescent="0.15">
      <c r="B925" s="95"/>
      <c r="C925" s="140" t="s">
        <v>767</v>
      </c>
      <c r="D925" s="95"/>
      <c r="E925" s="141"/>
      <c r="F925" s="96" t="s">
        <v>750</v>
      </c>
      <c r="G925" s="505">
        <f>0.01</f>
        <v>0.01</v>
      </c>
      <c r="H925" s="463" t="str">
        <f t="shared" si="1096"/>
        <v>보통인부인</v>
      </c>
      <c r="I925" s="451" t="str">
        <f t="shared" si="1107"/>
        <v>보통인부인</v>
      </c>
      <c r="J925" s="506" t="str">
        <f>IF(OR($F925="인",$F925=""),"",VLOOKUP($H925,단가!$A:$S,19,FALSE))</f>
        <v/>
      </c>
      <c r="K925" s="507" t="str">
        <f t="shared" si="1108"/>
        <v/>
      </c>
      <c r="L925" s="506">
        <f>IF($F925="인",VLOOKUP($C:$C,노임!$C:$G,4,FALSE),"")</f>
        <v>106846</v>
      </c>
      <c r="M925" s="507">
        <f t="shared" si="1109"/>
        <v>1068</v>
      </c>
      <c r="N925" s="507"/>
      <c r="O925" s="507" t="str">
        <f t="shared" si="1110"/>
        <v/>
      </c>
      <c r="P925" s="508"/>
      <c r="Q925" s="509" t="str">
        <f>IF(F925="인","노임"&amp;VLOOKUP($C:$C,노임!C:G,5,FALSE)&amp;"번","단가"&amp;VLOOKUP($H:$H,단가!$A:$B,2,FALSE)&amp;"번")</f>
        <v>노임1002번</v>
      </c>
      <c r="R925" s="510"/>
      <c r="S925" s="131"/>
      <c r="T925" s="470" t="str">
        <f t="shared" si="1097"/>
        <v>노임1002번</v>
      </c>
      <c r="V925" s="549"/>
      <c r="W925" s="471">
        <f t="shared" ref="W925:X925" si="1116">W924</f>
        <v>36</v>
      </c>
      <c r="X925" s="471" t="e">
        <f t="shared" si="1116"/>
        <v>#REF!</v>
      </c>
      <c r="Y925" s="471" t="e">
        <f t="shared" si="1099"/>
        <v>#REF!</v>
      </c>
      <c r="Z925" s="471"/>
      <c r="AA925" s="471"/>
      <c r="AD925" s="457"/>
      <c r="AE925" s="457"/>
    </row>
    <row r="926" spans="1:40" s="470" customFormat="1" ht="15.75" customHeight="1" x14ac:dyDescent="0.15">
      <c r="B926" s="95"/>
      <c r="C926" s="140" t="s">
        <v>373</v>
      </c>
      <c r="D926" s="95"/>
      <c r="E926" s="141" t="s">
        <v>519</v>
      </c>
      <c r="F926" s="94" t="s">
        <v>777</v>
      </c>
      <c r="G926" s="505">
        <v>1</v>
      </c>
      <c r="H926" s="463" t="str">
        <f t="shared" si="1096"/>
        <v>공구손료인력품의2%식</v>
      </c>
      <c r="I926" s="451" t="str">
        <f t="shared" si="1107"/>
        <v>공구손료인력품의2%식</v>
      </c>
      <c r="J926" s="506">
        <f>TRUNC((M924+M925)*2%,0)</f>
        <v>125</v>
      </c>
      <c r="K926" s="507">
        <f t="shared" si="1108"/>
        <v>125</v>
      </c>
      <c r="L926" s="506"/>
      <c r="M926" s="507"/>
      <c r="N926" s="507"/>
      <c r="O926" s="507"/>
      <c r="P926" s="508"/>
      <c r="Q926" s="512"/>
      <c r="R926" s="534"/>
      <c r="S926" s="131"/>
      <c r="T926" s="470" t="str">
        <f t="shared" si="1097"/>
        <v/>
      </c>
      <c r="V926" s="549"/>
      <c r="W926" s="471">
        <f t="shared" ref="W926:X926" si="1117">W925</f>
        <v>36</v>
      </c>
      <c r="X926" s="471" t="e">
        <f t="shared" si="1117"/>
        <v>#REF!</v>
      </c>
      <c r="Y926" s="471" t="e">
        <f t="shared" si="1099"/>
        <v>#REF!</v>
      </c>
      <c r="Z926" s="471"/>
      <c r="AA926" s="471"/>
    </row>
    <row r="927" spans="1:40" s="470" customFormat="1" ht="15.75" customHeight="1" x14ac:dyDescent="0.15">
      <c r="B927" s="95"/>
      <c r="C927" s="140"/>
      <c r="D927" s="95"/>
      <c r="E927" s="141"/>
      <c r="F927" s="94"/>
      <c r="G927" s="505"/>
      <c r="H927" s="463" t="str">
        <f t="shared" si="1096"/>
        <v/>
      </c>
      <c r="I927" s="451"/>
      <c r="J927" s="506"/>
      <c r="K927" s="507"/>
      <c r="L927" s="506"/>
      <c r="M927" s="507"/>
      <c r="N927" s="507"/>
      <c r="O927" s="507"/>
      <c r="P927" s="508"/>
      <c r="Q927" s="512"/>
      <c r="R927" s="534"/>
      <c r="S927" s="131"/>
      <c r="T927" s="470" t="str">
        <f t="shared" si="1097"/>
        <v/>
      </c>
      <c r="V927" s="549"/>
      <c r="W927" s="471">
        <f t="shared" ref="W927:X927" si="1118">W926</f>
        <v>36</v>
      </c>
      <c r="X927" s="471" t="e">
        <f t="shared" si="1118"/>
        <v>#REF!</v>
      </c>
      <c r="Y927" s="471" t="e">
        <f t="shared" si="1099"/>
        <v>#REF!</v>
      </c>
      <c r="Z927" s="471"/>
      <c r="AA927" s="471"/>
    </row>
    <row r="928" spans="1:40" s="470" customFormat="1" ht="15.75" customHeight="1" x14ac:dyDescent="0.15">
      <c r="B928" s="95"/>
      <c r="C928" s="140"/>
      <c r="D928" s="95"/>
      <c r="E928" s="141"/>
      <c r="F928" s="94"/>
      <c r="G928" s="505"/>
      <c r="H928" s="463" t="str">
        <f t="shared" si="1096"/>
        <v/>
      </c>
      <c r="I928" s="451"/>
      <c r="J928" s="506"/>
      <c r="K928" s="507"/>
      <c r="L928" s="506"/>
      <c r="M928" s="507"/>
      <c r="N928" s="507"/>
      <c r="O928" s="507"/>
      <c r="P928" s="508"/>
      <c r="Q928" s="512"/>
      <c r="R928" s="534"/>
      <c r="S928" s="131"/>
      <c r="T928" s="470" t="str">
        <f t="shared" si="1097"/>
        <v/>
      </c>
      <c r="V928" s="549"/>
      <c r="W928" s="471">
        <f t="shared" ref="W928:X928" si="1119">W927</f>
        <v>36</v>
      </c>
      <c r="X928" s="471" t="e">
        <f t="shared" si="1119"/>
        <v>#REF!</v>
      </c>
      <c r="Y928" s="471" t="e">
        <f t="shared" si="1099"/>
        <v>#REF!</v>
      </c>
      <c r="Z928" s="471"/>
      <c r="AA928" s="471"/>
    </row>
    <row r="929" spans="1:40" s="470" customFormat="1" ht="15.75" customHeight="1" x14ac:dyDescent="0.15">
      <c r="B929" s="95"/>
      <c r="C929" s="140"/>
      <c r="D929" s="95"/>
      <c r="E929" s="141"/>
      <c r="F929" s="94"/>
      <c r="G929" s="505"/>
      <c r="H929" s="463" t="str">
        <f t="shared" si="1096"/>
        <v/>
      </c>
      <c r="I929" s="451"/>
      <c r="J929" s="506"/>
      <c r="K929" s="507"/>
      <c r="L929" s="506"/>
      <c r="M929" s="507"/>
      <c r="N929" s="507"/>
      <c r="O929" s="507"/>
      <c r="P929" s="508"/>
      <c r="Q929" s="512"/>
      <c r="R929" s="534"/>
      <c r="S929" s="131"/>
      <c r="T929" s="470" t="str">
        <f t="shared" si="1097"/>
        <v/>
      </c>
      <c r="V929" s="549"/>
      <c r="W929" s="471">
        <f t="shared" ref="W929:X929" si="1120">W928</f>
        <v>36</v>
      </c>
      <c r="X929" s="471" t="e">
        <f t="shared" si="1120"/>
        <v>#REF!</v>
      </c>
      <c r="Y929" s="471" t="e">
        <f t="shared" si="1099"/>
        <v>#REF!</v>
      </c>
      <c r="Z929" s="471"/>
      <c r="AA929" s="471"/>
    </row>
    <row r="930" spans="1:40" s="470" customFormat="1" ht="15.75" customHeight="1" x14ac:dyDescent="0.15">
      <c r="B930" s="95"/>
      <c r="C930" s="140"/>
      <c r="D930" s="95"/>
      <c r="E930" s="141"/>
      <c r="F930" s="94"/>
      <c r="G930" s="505"/>
      <c r="H930" s="463" t="str">
        <f t="shared" si="1096"/>
        <v/>
      </c>
      <c r="I930" s="451"/>
      <c r="J930" s="506"/>
      <c r="K930" s="507"/>
      <c r="L930" s="506"/>
      <c r="M930" s="507"/>
      <c r="N930" s="507"/>
      <c r="O930" s="507"/>
      <c r="P930" s="508"/>
      <c r="Q930" s="512"/>
      <c r="R930" s="534"/>
      <c r="S930" s="131"/>
      <c r="T930" s="470" t="str">
        <f t="shared" si="1097"/>
        <v/>
      </c>
      <c r="V930" s="549"/>
      <c r="W930" s="471">
        <f t="shared" ref="W930:X930" si="1121">W929</f>
        <v>36</v>
      </c>
      <c r="X930" s="471" t="e">
        <f t="shared" si="1121"/>
        <v>#REF!</v>
      </c>
      <c r="Y930" s="471" t="e">
        <f t="shared" si="1099"/>
        <v>#REF!</v>
      </c>
      <c r="Z930" s="471"/>
      <c r="AA930" s="471"/>
      <c r="AB930" s="457"/>
    </row>
    <row r="931" spans="1:40" s="470" customFormat="1" ht="15.75" customHeight="1" x14ac:dyDescent="0.15">
      <c r="B931" s="95"/>
      <c r="C931" s="140"/>
      <c r="D931" s="95"/>
      <c r="E931" s="141"/>
      <c r="F931" s="94"/>
      <c r="G931" s="505"/>
      <c r="H931" s="463" t="str">
        <f t="shared" si="1096"/>
        <v/>
      </c>
      <c r="I931" s="451"/>
      <c r="J931" s="506"/>
      <c r="K931" s="507"/>
      <c r="L931" s="506"/>
      <c r="M931" s="507"/>
      <c r="N931" s="507"/>
      <c r="O931" s="507"/>
      <c r="P931" s="508"/>
      <c r="Q931" s="512"/>
      <c r="R931" s="534"/>
      <c r="S931" s="131"/>
      <c r="T931" s="470" t="str">
        <f t="shared" si="1097"/>
        <v/>
      </c>
      <c r="V931" s="549"/>
      <c r="W931" s="471">
        <f t="shared" ref="W931:X931" si="1122">W930</f>
        <v>36</v>
      </c>
      <c r="X931" s="471" t="e">
        <f t="shared" si="1122"/>
        <v>#REF!</v>
      </c>
      <c r="Y931" s="471" t="e">
        <f t="shared" si="1099"/>
        <v>#REF!</v>
      </c>
      <c r="Z931" s="471"/>
      <c r="AA931" s="471"/>
    </row>
    <row r="932" spans="1:40" s="470" customFormat="1" ht="15.75" customHeight="1" x14ac:dyDescent="0.15">
      <c r="B932" s="95"/>
      <c r="C932" s="140"/>
      <c r="D932" s="95"/>
      <c r="E932" s="141"/>
      <c r="F932" s="94"/>
      <c r="G932" s="505"/>
      <c r="H932" s="463" t="str">
        <f t="shared" si="1096"/>
        <v/>
      </c>
      <c r="I932" s="451"/>
      <c r="J932" s="506"/>
      <c r="K932" s="507"/>
      <c r="L932" s="506"/>
      <c r="M932" s="507"/>
      <c r="N932" s="507"/>
      <c r="O932" s="507"/>
      <c r="P932" s="508"/>
      <c r="Q932" s="512"/>
      <c r="R932" s="534"/>
      <c r="S932" s="131"/>
      <c r="T932" s="470" t="str">
        <f t="shared" si="1097"/>
        <v/>
      </c>
      <c r="V932" s="549"/>
      <c r="W932" s="471">
        <f t="shared" ref="W932:X932" si="1123">W931</f>
        <v>36</v>
      </c>
      <c r="X932" s="471" t="e">
        <f t="shared" si="1123"/>
        <v>#REF!</v>
      </c>
      <c r="Y932" s="471" t="e">
        <f t="shared" si="1099"/>
        <v>#REF!</v>
      </c>
      <c r="Z932" s="471"/>
      <c r="AA932" s="471"/>
    </row>
    <row r="933" spans="1:40" s="470" customFormat="1" ht="15.75" customHeight="1" x14ac:dyDescent="0.15">
      <c r="B933" s="95"/>
      <c r="C933" s="140"/>
      <c r="D933" s="95"/>
      <c r="E933" s="141"/>
      <c r="F933" s="94"/>
      <c r="G933" s="505"/>
      <c r="H933" s="463" t="str">
        <f t="shared" si="1096"/>
        <v/>
      </c>
      <c r="I933" s="451"/>
      <c r="J933" s="506"/>
      <c r="K933" s="507"/>
      <c r="L933" s="506"/>
      <c r="M933" s="507"/>
      <c r="N933" s="507"/>
      <c r="O933" s="507"/>
      <c r="P933" s="508"/>
      <c r="Q933" s="512"/>
      <c r="R933" s="513"/>
      <c r="S933" s="131"/>
      <c r="T933" s="470" t="str">
        <f t="shared" si="1097"/>
        <v/>
      </c>
      <c r="V933" s="549"/>
      <c r="W933" s="471">
        <f t="shared" ref="W933:X933" si="1124">W932</f>
        <v>36</v>
      </c>
      <c r="X933" s="471" t="e">
        <f t="shared" si="1124"/>
        <v>#REF!</v>
      </c>
      <c r="Y933" s="471" t="e">
        <f t="shared" si="1099"/>
        <v>#REF!</v>
      </c>
      <c r="Z933" s="471"/>
      <c r="AA933" s="471"/>
      <c r="AB933" s="457"/>
    </row>
    <row r="934" spans="1:40" s="470" customFormat="1" ht="15.75" customHeight="1" x14ac:dyDescent="0.15">
      <c r="B934" s="514" t="s">
        <v>751</v>
      </c>
      <c r="C934" s="515"/>
      <c r="D934" s="516"/>
      <c r="E934" s="517"/>
      <c r="F934" s="518"/>
      <c r="G934" s="519"/>
      <c r="H934" s="463" t="str">
        <f t="shared" si="1096"/>
        <v/>
      </c>
      <c r="I934" s="520">
        <f>목록!$B$42</f>
        <v>36</v>
      </c>
      <c r="J934" s="521"/>
      <c r="K934" s="522">
        <f>SUM(K920:K933)</f>
        <v>1762</v>
      </c>
      <c r="L934" s="521"/>
      <c r="M934" s="522">
        <f>SUM(M920:M933)</f>
        <v>6271</v>
      </c>
      <c r="N934" s="521"/>
      <c r="O934" s="522">
        <f>SUM(O920:O933)</f>
        <v>0</v>
      </c>
      <c r="P934" s="523"/>
      <c r="Q934" s="512"/>
      <c r="R934" s="513"/>
      <c r="S934" s="524"/>
      <c r="T934" s="470" t="str">
        <f t="shared" si="1097"/>
        <v/>
      </c>
      <c r="V934" s="549"/>
      <c r="W934" s="471">
        <f t="shared" ref="W934:X934" si="1125">W933</f>
        <v>36</v>
      </c>
      <c r="X934" s="471" t="e">
        <f t="shared" si="1125"/>
        <v>#REF!</v>
      </c>
      <c r="Y934" s="471" t="e">
        <f t="shared" si="1099"/>
        <v>#REF!</v>
      </c>
      <c r="Z934" s="471"/>
      <c r="AA934" s="471"/>
      <c r="AB934" s="457"/>
    </row>
    <row r="935" spans="1:40" s="470" customFormat="1" ht="15.75" customHeight="1" x14ac:dyDescent="0.15">
      <c r="B935" s="453"/>
      <c r="C935" s="209"/>
      <c r="D935" s="95"/>
      <c r="E935" s="141"/>
      <c r="F935" s="94"/>
      <c r="G935" s="505"/>
      <c r="H935" s="463" t="str">
        <f t="shared" si="1096"/>
        <v/>
      </c>
      <c r="I935" s="451"/>
      <c r="J935" s="506"/>
      <c r="K935" s="507"/>
      <c r="L935" s="506"/>
      <c r="M935" s="507"/>
      <c r="N935" s="507"/>
      <c r="O935" s="507"/>
      <c r="P935" s="508"/>
      <c r="Q935" s="512"/>
      <c r="R935" s="513"/>
      <c r="S935" s="131"/>
      <c r="T935" s="470" t="str">
        <f t="shared" si="1097"/>
        <v/>
      </c>
      <c r="V935" s="549"/>
      <c r="W935" s="615">
        <f t="shared" ref="W935:X935" si="1126">W934</f>
        <v>36</v>
      </c>
      <c r="X935" s="471" t="e">
        <f t="shared" si="1126"/>
        <v>#REF!</v>
      </c>
      <c r="Y935" s="471" t="e">
        <f t="shared" si="1099"/>
        <v>#REF!</v>
      </c>
      <c r="Z935" s="471"/>
      <c r="AA935" s="471"/>
      <c r="AB935" s="457"/>
    </row>
    <row r="936" spans="1:40" s="470" customFormat="1" ht="15.75" customHeight="1" x14ac:dyDescent="0.15">
      <c r="A936" s="457"/>
      <c r="B936" s="453"/>
      <c r="C936" s="209" t="s">
        <v>1036</v>
      </c>
      <c r="D936" s="95"/>
      <c r="E936" s="141"/>
      <c r="F936" s="94"/>
      <c r="G936" s="505"/>
      <c r="H936" s="463" t="str">
        <f t="shared" si="1096"/>
        <v>※ 건축표준품셈 17-1-1 2.석고보드면(LINE PUTTY)</v>
      </c>
      <c r="I936" s="451"/>
      <c r="J936" s="506"/>
      <c r="K936" s="507"/>
      <c r="L936" s="506"/>
      <c r="M936" s="507"/>
      <c r="N936" s="507"/>
      <c r="O936" s="507"/>
      <c r="P936" s="508"/>
      <c r="Q936" s="512"/>
      <c r="R936" s="513"/>
      <c r="S936" s="131"/>
      <c r="T936" s="470" t="str">
        <f t="shared" si="1097"/>
        <v/>
      </c>
      <c r="V936" s="551"/>
      <c r="W936" s="471">
        <f t="shared" ref="W936:X936" si="1127">W935</f>
        <v>36</v>
      </c>
      <c r="X936" s="471" t="e">
        <f t="shared" si="1127"/>
        <v>#REF!</v>
      </c>
      <c r="Y936" s="471" t="e">
        <f t="shared" si="1099"/>
        <v>#REF!</v>
      </c>
      <c r="Z936" s="471"/>
      <c r="AA936" s="471"/>
      <c r="AB936" s="457"/>
    </row>
    <row r="937" spans="1:40" s="470" customFormat="1" ht="15.75" customHeight="1" x14ac:dyDescent="0.15">
      <c r="B937" s="514"/>
      <c r="C937" s="515"/>
      <c r="D937" s="516"/>
      <c r="E937" s="517"/>
      <c r="F937" s="518"/>
      <c r="G937" s="519"/>
      <c r="H937" s="463" t="str">
        <f t="shared" si="1096"/>
        <v/>
      </c>
      <c r="I937" s="520"/>
      <c r="J937" s="521"/>
      <c r="K937" s="522"/>
      <c r="L937" s="521"/>
      <c r="M937" s="522"/>
      <c r="N937" s="521"/>
      <c r="O937" s="522"/>
      <c r="P937" s="523"/>
      <c r="Q937" s="512"/>
      <c r="R937" s="513"/>
      <c r="S937" s="524"/>
      <c r="T937" s="470" t="str">
        <f t="shared" si="1097"/>
        <v/>
      </c>
      <c r="U937" s="457"/>
      <c r="W937" s="471">
        <f t="shared" ref="W937:X937" si="1128">W936</f>
        <v>36</v>
      </c>
      <c r="X937" s="471" t="e">
        <f t="shared" si="1128"/>
        <v>#REF!</v>
      </c>
      <c r="Y937" s="471" t="e">
        <f t="shared" si="1099"/>
        <v>#REF!</v>
      </c>
      <c r="Z937" s="471"/>
      <c r="AA937" s="471"/>
      <c r="AB937" s="457"/>
      <c r="AC937" s="457"/>
      <c r="AD937" s="457"/>
      <c r="AE937" s="457"/>
      <c r="AF937" s="457"/>
      <c r="AG937" s="457"/>
      <c r="AH937" s="457"/>
      <c r="AI937" s="457"/>
      <c r="AJ937" s="457"/>
      <c r="AK937" s="457"/>
      <c r="AL937" s="457"/>
      <c r="AM937" s="457"/>
      <c r="AN937" s="457"/>
    </row>
    <row r="938" spans="1:40" s="457" customFormat="1" ht="15.75" customHeight="1" x14ac:dyDescent="0.15">
      <c r="A938" s="470"/>
      <c r="C938" s="458"/>
      <c r="D938" s="459"/>
      <c r="E938" s="460"/>
      <c r="F938" s="461"/>
      <c r="G938" s="462"/>
      <c r="H938" s="463" t="str">
        <f t="shared" ref="H938:H1008" si="1129">CONCATENATE(C938,E938,F938)</f>
        <v/>
      </c>
      <c r="I938" s="464"/>
      <c r="J938" s="465"/>
      <c r="K938" s="465"/>
      <c r="L938" s="465"/>
      <c r="M938" s="465"/>
      <c r="N938" s="465"/>
      <c r="O938" s="466"/>
      <c r="P938" s="467"/>
      <c r="Q938" s="468"/>
      <c r="R938" s="469"/>
      <c r="S938" s="467"/>
      <c r="T938" s="470" t="str">
        <f t="shared" si="1097"/>
        <v/>
      </c>
      <c r="U938" s="470"/>
      <c r="V938" s="470"/>
      <c r="W938" s="533">
        <f t="shared" ref="W938" si="1130">I960</f>
        <v>37</v>
      </c>
      <c r="X938" s="533" t="e">
        <f t="shared" ref="X938" si="1131">X937+1</f>
        <v>#REF!</v>
      </c>
      <c r="Y938" s="533" t="e">
        <f t="shared" si="1099"/>
        <v>#REF!</v>
      </c>
      <c r="Z938" s="533"/>
      <c r="AA938" s="533"/>
      <c r="AC938" s="470"/>
      <c r="AD938" s="470"/>
      <c r="AE938" s="470"/>
      <c r="AF938" s="470"/>
      <c r="AG938" s="470"/>
      <c r="AH938" s="470"/>
      <c r="AI938" s="470"/>
      <c r="AJ938" s="470"/>
      <c r="AK938" s="470"/>
      <c r="AL938" s="470"/>
      <c r="AM938" s="470"/>
      <c r="AN938" s="470"/>
    </row>
    <row r="939" spans="1:40" s="470" customFormat="1" ht="15.75" customHeight="1" x14ac:dyDescent="0.15">
      <c r="A939" s="457"/>
      <c r="B939" s="473"/>
      <c r="C939" s="474" t="str">
        <f>"   항목번호 : "&amp;목록!L$43</f>
        <v xml:space="preserve">   항목번호 : 제37호표</v>
      </c>
      <c r="D939" s="475">
        <f>목록!B$43</f>
        <v>37</v>
      </c>
      <c r="E939" s="476"/>
      <c r="F939" s="477"/>
      <c r="G939" s="478"/>
      <c r="H939" s="463" t="str">
        <f t="shared" si="1129"/>
        <v xml:space="preserve">   항목번호 : 제37호표</v>
      </c>
      <c r="I939" s="479"/>
      <c r="J939" s="480"/>
      <c r="K939" s="481"/>
      <c r="L939" s="482"/>
      <c r="M939" s="482"/>
      <c r="N939" s="482"/>
      <c r="O939" s="466"/>
      <c r="P939" s="483"/>
      <c r="Q939" s="484"/>
      <c r="R939" s="485"/>
      <c r="S939" s="483"/>
      <c r="T939" s="470" t="str">
        <f t="shared" si="1097"/>
        <v/>
      </c>
      <c r="V939" s="551"/>
      <c r="W939" s="471">
        <f t="shared" ref="W939:X939" si="1132">W938</f>
        <v>37</v>
      </c>
      <c r="X939" s="471" t="e">
        <f t="shared" si="1132"/>
        <v>#REF!</v>
      </c>
      <c r="Y939" s="471" t="e">
        <f t="shared" ref="Y939:Y1002" si="1133">X939-W939</f>
        <v>#REF!</v>
      </c>
      <c r="Z939" s="471"/>
      <c r="AA939" s="471"/>
      <c r="AB939" s="457"/>
    </row>
    <row r="940" spans="1:40" s="470" customFormat="1" ht="15.75" customHeight="1" x14ac:dyDescent="0.15">
      <c r="A940" s="457"/>
      <c r="B940" s="473"/>
      <c r="C940" s="474" t="str">
        <f>"   공      종 : "&amp;목록!D$43</f>
        <v xml:space="preserve">   공      종 : ALL PUTTY(벽체)</v>
      </c>
      <c r="D940" s="484"/>
      <c r="E940" s="476"/>
      <c r="F940" s="473"/>
      <c r="G940" s="478"/>
      <c r="H940" s="463" t="str">
        <f t="shared" si="1129"/>
        <v xml:space="preserve">   공      종 : ALL PUTTY(벽체)</v>
      </c>
      <c r="I940" s="479"/>
      <c r="J940" s="480"/>
      <c r="K940" s="481"/>
      <c r="L940" s="482"/>
      <c r="M940" s="482"/>
      <c r="N940" s="482"/>
      <c r="O940" s="466"/>
      <c r="P940" s="483"/>
      <c r="Q940" s="484"/>
      <c r="R940" s="485"/>
      <c r="S940" s="483"/>
      <c r="T940" s="470" t="str">
        <f t="shared" si="1097"/>
        <v/>
      </c>
      <c r="U940" s="457"/>
      <c r="W940" s="471">
        <f t="shared" ref="W940:X940" si="1134">W939</f>
        <v>37</v>
      </c>
      <c r="X940" s="471" t="e">
        <f t="shared" si="1134"/>
        <v>#REF!</v>
      </c>
      <c r="Y940" s="471" t="e">
        <f t="shared" si="1133"/>
        <v>#REF!</v>
      </c>
      <c r="Z940" s="471"/>
      <c r="AA940" s="471"/>
      <c r="AB940" s="457"/>
      <c r="AC940" s="457"/>
      <c r="AD940" s="457"/>
      <c r="AE940" s="457"/>
      <c r="AF940" s="457"/>
      <c r="AG940" s="457"/>
      <c r="AH940" s="457"/>
      <c r="AI940" s="457"/>
      <c r="AJ940" s="457"/>
      <c r="AK940" s="457"/>
      <c r="AL940" s="457"/>
      <c r="AM940" s="457"/>
      <c r="AN940" s="457"/>
    </row>
    <row r="941" spans="1:40" s="457" customFormat="1" ht="15.75" customHeight="1" x14ac:dyDescent="0.15">
      <c r="B941" s="473"/>
      <c r="C941" s="474" t="str">
        <f xml:space="preserve"> "   규      격 : "&amp;목록!F$43</f>
        <v xml:space="preserve">   규      격 : 석고보드면, 합판면</v>
      </c>
      <c r="D941" s="484"/>
      <c r="E941" s="476"/>
      <c r="F941" s="473"/>
      <c r="G941" s="478"/>
      <c r="H941" s="463" t="str">
        <f t="shared" si="1129"/>
        <v xml:space="preserve">   규      격 : 석고보드면, 합판면</v>
      </c>
      <c r="I941" s="479"/>
      <c r="J941" s="480" t="s">
        <v>348</v>
      </c>
      <c r="K941" s="481"/>
      <c r="L941" s="482" t="s">
        <v>349</v>
      </c>
      <c r="M941" s="482"/>
      <c r="N941" s="482" t="s">
        <v>240</v>
      </c>
      <c r="O941" s="466"/>
      <c r="P941" s="483"/>
      <c r="Q941" s="484" t="s">
        <v>723</v>
      </c>
      <c r="R941" s="484"/>
      <c r="S941" s="483"/>
      <c r="T941" s="470" t="str">
        <f t="shared" si="1097"/>
        <v>합계</v>
      </c>
      <c r="V941" s="547"/>
      <c r="W941" s="471">
        <f t="shared" ref="W941:X941" si="1135">W940</f>
        <v>37</v>
      </c>
      <c r="X941" s="471" t="e">
        <f t="shared" si="1135"/>
        <v>#REF!</v>
      </c>
      <c r="Y941" s="471" t="e">
        <f t="shared" si="1133"/>
        <v>#REF!</v>
      </c>
      <c r="Z941" s="471"/>
      <c r="AA941" s="471"/>
    </row>
    <row r="942" spans="1:40" s="457" customFormat="1" ht="15.75" customHeight="1" x14ac:dyDescent="0.15">
      <c r="B942" s="473"/>
      <c r="C942" s="474" t="str">
        <f>"   단      위 : "&amp;목록!G$43</f>
        <v xml:space="preserve">   단      위 : ㎡</v>
      </c>
      <c r="D942" s="484"/>
      <c r="E942" s="476"/>
      <c r="F942" s="473"/>
      <c r="G942" s="478"/>
      <c r="H942" s="463" t="str">
        <f t="shared" si="1129"/>
        <v xml:space="preserve">   단      위 : ㎡</v>
      </c>
      <c r="I942" s="479"/>
      <c r="J942" s="486">
        <f>K960</f>
        <v>2130</v>
      </c>
      <c r="K942" s="481"/>
      <c r="L942" s="487">
        <f>M960</f>
        <v>11734</v>
      </c>
      <c r="M942" s="482"/>
      <c r="N942" s="482">
        <f>O960</f>
        <v>0</v>
      </c>
      <c r="O942" s="466"/>
      <c r="P942" s="483"/>
      <c r="Q942" s="488">
        <f>J942+L942+N942</f>
        <v>13864</v>
      </c>
      <c r="R942" s="489"/>
      <c r="S942" s="483"/>
      <c r="T942" s="470" t="str">
        <f t="shared" si="1097"/>
        <v>13864</v>
      </c>
      <c r="V942" s="547"/>
      <c r="W942" s="471">
        <f t="shared" ref="W942:X942" si="1136">W941</f>
        <v>37</v>
      </c>
      <c r="X942" s="471" t="e">
        <f t="shared" si="1136"/>
        <v>#REF!</v>
      </c>
      <c r="Y942" s="471" t="e">
        <f t="shared" si="1133"/>
        <v>#REF!</v>
      </c>
      <c r="Z942" s="471"/>
      <c r="AA942" s="471"/>
      <c r="AB942" s="470"/>
    </row>
    <row r="943" spans="1:40" s="457" customFormat="1" ht="15.75" customHeight="1" x14ac:dyDescent="0.15">
      <c r="B943" s="473"/>
      <c r="C943" s="474"/>
      <c r="D943" s="484"/>
      <c r="E943" s="476"/>
      <c r="F943" s="473"/>
      <c r="G943" s="490"/>
      <c r="H943" s="463" t="str">
        <f t="shared" si="1129"/>
        <v/>
      </c>
      <c r="I943" s="491"/>
      <c r="J943" s="482"/>
      <c r="K943" s="465"/>
      <c r="L943" s="482"/>
      <c r="M943" s="482"/>
      <c r="N943" s="482"/>
      <c r="O943" s="466"/>
      <c r="P943" s="492"/>
      <c r="Q943" s="493"/>
      <c r="R943" s="485"/>
      <c r="S943" s="492"/>
      <c r="T943" s="470" t="str">
        <f t="shared" si="1097"/>
        <v/>
      </c>
      <c r="V943" s="547"/>
      <c r="W943" s="471">
        <f t="shared" ref="W943:X943" si="1137">W942</f>
        <v>37</v>
      </c>
      <c r="X943" s="471" t="e">
        <f t="shared" si="1137"/>
        <v>#REF!</v>
      </c>
      <c r="Y943" s="471" t="e">
        <f t="shared" si="1133"/>
        <v>#REF!</v>
      </c>
      <c r="Z943" s="471"/>
      <c r="AA943" s="471"/>
      <c r="AB943" s="470"/>
    </row>
    <row r="944" spans="1:40" s="457" customFormat="1" ht="15.75" customHeight="1" x14ac:dyDescent="0.15">
      <c r="B944" s="899" t="s">
        <v>375</v>
      </c>
      <c r="C944" s="900"/>
      <c r="D944" s="915" t="s">
        <v>356</v>
      </c>
      <c r="E944" s="908"/>
      <c r="F944" s="903" t="s">
        <v>785</v>
      </c>
      <c r="G944" s="913" t="s">
        <v>786</v>
      </c>
      <c r="H944" s="463" t="str">
        <f t="shared" si="1129"/>
        <v>단위</v>
      </c>
      <c r="I944" s="494"/>
      <c r="J944" s="495" t="s">
        <v>348</v>
      </c>
      <c r="K944" s="496"/>
      <c r="L944" s="495" t="s">
        <v>349</v>
      </c>
      <c r="M944" s="496"/>
      <c r="N944" s="497" t="s">
        <v>240</v>
      </c>
      <c r="O944" s="497"/>
      <c r="P944" s="498"/>
      <c r="Q944" s="744" t="s">
        <v>355</v>
      </c>
      <c r="R944" s="744"/>
      <c r="S944" s="499"/>
      <c r="T944" s="470" t="str">
        <f t="shared" si="1097"/>
        <v>비  고</v>
      </c>
      <c r="V944" s="547"/>
      <c r="W944" s="471">
        <f t="shared" ref="W944:X944" si="1138">W943</f>
        <v>37</v>
      </c>
      <c r="X944" s="471" t="e">
        <f t="shared" si="1138"/>
        <v>#REF!</v>
      </c>
      <c r="Y944" s="471" t="e">
        <f t="shared" si="1133"/>
        <v>#REF!</v>
      </c>
      <c r="Z944" s="471"/>
      <c r="AA944" s="471"/>
      <c r="AB944" s="470"/>
    </row>
    <row r="945" spans="1:40" s="457" customFormat="1" ht="15.75" customHeight="1" x14ac:dyDescent="0.15">
      <c r="B945" s="901"/>
      <c r="C945" s="902"/>
      <c r="D945" s="916"/>
      <c r="E945" s="910"/>
      <c r="F945" s="904"/>
      <c r="G945" s="914"/>
      <c r="H945" s="463" t="str">
        <f t="shared" si="1129"/>
        <v/>
      </c>
      <c r="I945" s="500"/>
      <c r="J945" s="501" t="s">
        <v>353</v>
      </c>
      <c r="K945" s="501" t="s">
        <v>354</v>
      </c>
      <c r="L945" s="501" t="s">
        <v>353</v>
      </c>
      <c r="M945" s="502" t="s">
        <v>354</v>
      </c>
      <c r="N945" s="501" t="s">
        <v>353</v>
      </c>
      <c r="O945" s="501" t="s">
        <v>354</v>
      </c>
      <c r="P945" s="503"/>
      <c r="Q945" s="745"/>
      <c r="R945" s="745"/>
      <c r="S945" s="504"/>
      <c r="T945" s="470" t="str">
        <f t="shared" si="1097"/>
        <v/>
      </c>
      <c r="V945" s="547"/>
      <c r="W945" s="471">
        <f t="shared" ref="W945:X945" si="1139">W944</f>
        <v>37</v>
      </c>
      <c r="X945" s="471" t="e">
        <f t="shared" si="1139"/>
        <v>#REF!</v>
      </c>
      <c r="Y945" s="471" t="e">
        <f t="shared" si="1133"/>
        <v>#REF!</v>
      </c>
      <c r="Z945" s="471"/>
      <c r="AA945" s="471"/>
      <c r="AB945" s="470"/>
    </row>
    <row r="946" spans="1:40" s="457" customFormat="1" ht="15.75" customHeight="1" x14ac:dyDescent="0.15">
      <c r="A946" s="547"/>
      <c r="B946" s="95"/>
      <c r="C946" s="140" t="s">
        <v>914</v>
      </c>
      <c r="D946" s="95"/>
      <c r="E946" s="141"/>
      <c r="F946" s="96" t="s">
        <v>771</v>
      </c>
      <c r="G946" s="505">
        <v>1.52</v>
      </c>
      <c r="H946" s="463" t="str">
        <f t="shared" si="1129"/>
        <v>석면테이프m</v>
      </c>
      <c r="I946" s="451" t="str">
        <f t="shared" ref="I946:I952" si="1140">CONCATENATE(C946,E946,F946)</f>
        <v>석면테이프m</v>
      </c>
      <c r="J946" s="506">
        <f>IF(OR($F946="인",$F946=""),"",VLOOKUP($H946,단가!$A:$S,19,FALSE))</f>
        <v>367</v>
      </c>
      <c r="K946" s="507">
        <f t="shared" ref="K946:K952" si="1141">IF(J946="","",TRUNC($G946*J946,0))</f>
        <v>557</v>
      </c>
      <c r="L946" s="506" t="str">
        <f>IF($F946="인",VLOOKUP($C:$C,노임!$C:$G,4,FALSE),"")</f>
        <v/>
      </c>
      <c r="M946" s="507" t="str">
        <f t="shared" ref="M946:M951" si="1142">IF(L946="","",TRUNC($G946*L946,0))</f>
        <v/>
      </c>
      <c r="N946" s="507"/>
      <c r="O946" s="507" t="str">
        <f t="shared" ref="O946:O951" si="1143">IF(N946="","",TRUNC($G946*N946,0))</f>
        <v/>
      </c>
      <c r="P946" s="508"/>
      <c r="Q946" s="509" t="str">
        <f>IF(F946="인","노임"&amp;VLOOKUP($C:$C,노임!C:G,5,FALSE)&amp;"번","단가"&amp;VLOOKUP($H:$H,단가!$A:$B,2,FALSE)&amp;"번")</f>
        <v>단가74번</v>
      </c>
      <c r="R946" s="510"/>
      <c r="S946" s="131"/>
      <c r="T946" s="470" t="str">
        <f t="shared" ref="T946:T1009" si="1144">CONCATENATE(Q946,R946)</f>
        <v>단가74번</v>
      </c>
      <c r="V946" s="548"/>
      <c r="W946" s="471">
        <f t="shared" ref="W946:X946" si="1145">W945</f>
        <v>37</v>
      </c>
      <c r="X946" s="471" t="e">
        <f t="shared" si="1145"/>
        <v>#REF!</v>
      </c>
      <c r="Y946" s="471" t="e">
        <f t="shared" si="1133"/>
        <v>#REF!</v>
      </c>
      <c r="Z946" s="471"/>
      <c r="AA946" s="471"/>
      <c r="AB946" s="470"/>
    </row>
    <row r="947" spans="1:40" s="457" customFormat="1" ht="15.75" customHeight="1" x14ac:dyDescent="0.15">
      <c r="A947" s="547"/>
      <c r="B947" s="95"/>
      <c r="C947" s="143" t="s">
        <v>915</v>
      </c>
      <c r="D947" s="142"/>
      <c r="E947" s="97" t="s">
        <v>916</v>
      </c>
      <c r="F947" s="564" t="s">
        <v>861</v>
      </c>
      <c r="G947" s="505">
        <v>0.32500000000000001</v>
      </c>
      <c r="H947" s="463" t="str">
        <f t="shared" si="1129"/>
        <v>휠러외부용Kg</v>
      </c>
      <c r="I947" s="451" t="str">
        <f t="shared" si="1140"/>
        <v>휠러외부용Kg</v>
      </c>
      <c r="J947" s="506">
        <f>IF(OR($F947="인",$F947=""),"",VLOOKUP($H947,단가!$A:$S,19,FALSE))</f>
        <v>1650</v>
      </c>
      <c r="K947" s="507">
        <f t="shared" si="1141"/>
        <v>536</v>
      </c>
      <c r="L947" s="506" t="str">
        <f>IF($F947="인",VLOOKUP($C:$C,노임!$C:$G,4,FALSE),"")</f>
        <v/>
      </c>
      <c r="M947" s="507" t="str">
        <f t="shared" si="1142"/>
        <v/>
      </c>
      <c r="N947" s="507"/>
      <c r="O947" s="507" t="str">
        <f t="shared" si="1143"/>
        <v/>
      </c>
      <c r="P947" s="508"/>
      <c r="Q947" s="509" t="str">
        <f>IF(F947="인","노임"&amp;VLOOKUP($C:$C,노임!C:G,5,FALSE)&amp;"번","단가"&amp;VLOOKUP($H:$H,단가!$A:$B,2,FALSE)&amp;"번")</f>
        <v>단가40번</v>
      </c>
      <c r="R947" s="510"/>
      <c r="S947" s="131"/>
      <c r="T947" s="470" t="str">
        <f t="shared" si="1144"/>
        <v>단가40번</v>
      </c>
      <c r="V947" s="548"/>
      <c r="W947" s="471">
        <f t="shared" ref="W947:X947" si="1146">W946</f>
        <v>37</v>
      </c>
      <c r="X947" s="471" t="e">
        <f t="shared" si="1146"/>
        <v>#REF!</v>
      </c>
      <c r="Y947" s="471" t="e">
        <f t="shared" si="1133"/>
        <v>#REF!</v>
      </c>
      <c r="Z947" s="471"/>
      <c r="AA947" s="471"/>
      <c r="AB947" s="470"/>
    </row>
    <row r="948" spans="1:40" s="457" customFormat="1" ht="15.75" customHeight="1" x14ac:dyDescent="0.15">
      <c r="A948" s="470"/>
      <c r="B948" s="95"/>
      <c r="C948" s="204" t="s">
        <v>828</v>
      </c>
      <c r="D948" s="205"/>
      <c r="E948" s="206" t="s">
        <v>829</v>
      </c>
      <c r="F948" s="207" t="s">
        <v>800</v>
      </c>
      <c r="G948" s="505">
        <f>0.667</f>
        <v>0.66700000000000004</v>
      </c>
      <c r="H948" s="463" t="str">
        <f t="shared" si="1129"/>
        <v>퍼티핸디택스(인테리어전용)Kg</v>
      </c>
      <c r="I948" s="451" t="str">
        <f t="shared" si="1140"/>
        <v>퍼티핸디택스(인테리어전용)Kg</v>
      </c>
      <c r="J948" s="506">
        <f>IF(OR($F948="인",$F948=""),"",VLOOKUP($H948,단가!$A:$S,19,FALSE))</f>
        <v>1150</v>
      </c>
      <c r="K948" s="507">
        <f t="shared" si="1141"/>
        <v>767</v>
      </c>
      <c r="L948" s="506" t="str">
        <f>IF($F948="인",VLOOKUP($C:$C,노임!$C:$G,4,FALSE),"")</f>
        <v/>
      </c>
      <c r="M948" s="507" t="str">
        <f t="shared" si="1142"/>
        <v/>
      </c>
      <c r="N948" s="507"/>
      <c r="O948" s="507" t="str">
        <f t="shared" si="1143"/>
        <v/>
      </c>
      <c r="P948" s="508"/>
      <c r="Q948" s="509" t="str">
        <f>IF(F948="인","노임"&amp;VLOOKUP($C:$C,노임!C:G,5,FALSE)&amp;"번","단가"&amp;VLOOKUP($H:$H,단가!$A:$B,2,FALSE)&amp;"번")</f>
        <v>단가39번</v>
      </c>
      <c r="R948" s="510"/>
      <c r="S948" s="131"/>
      <c r="T948" s="470" t="str">
        <f t="shared" si="1144"/>
        <v>단가39번</v>
      </c>
      <c r="V948" s="549"/>
      <c r="W948" s="471">
        <f t="shared" ref="W948:X948" si="1147">W947</f>
        <v>37</v>
      </c>
      <c r="X948" s="471" t="e">
        <f t="shared" si="1147"/>
        <v>#REF!</v>
      </c>
      <c r="Y948" s="471" t="e">
        <f t="shared" si="1133"/>
        <v>#REF!</v>
      </c>
      <c r="Z948" s="471"/>
      <c r="AA948" s="471"/>
      <c r="AB948" s="470"/>
      <c r="AD948" s="470"/>
      <c r="AE948" s="470"/>
    </row>
    <row r="949" spans="1:40" s="457" customFormat="1" ht="15.75" customHeight="1" x14ac:dyDescent="0.15">
      <c r="A949" s="470"/>
      <c r="B949" s="95"/>
      <c r="C949" s="140" t="s">
        <v>830</v>
      </c>
      <c r="D949" s="95"/>
      <c r="E949" s="141" t="s">
        <v>831</v>
      </c>
      <c r="F949" s="96" t="s">
        <v>812</v>
      </c>
      <c r="G949" s="505">
        <f>0.18</f>
        <v>0.18</v>
      </c>
      <c r="H949" s="463" t="str">
        <f t="shared" si="1129"/>
        <v>연마지#120매</v>
      </c>
      <c r="I949" s="451" t="str">
        <f t="shared" si="1140"/>
        <v>연마지#120매</v>
      </c>
      <c r="J949" s="506">
        <f>IF(OR($F949="인",$F949=""),"",VLOOKUP($H949,단가!$A:$S,19,FALSE))</f>
        <v>200</v>
      </c>
      <c r="K949" s="507">
        <f t="shared" si="1141"/>
        <v>36</v>
      </c>
      <c r="L949" s="506" t="str">
        <f>IF($F949="인",VLOOKUP($C:$C,노임!$C:$G,4,FALSE),"")</f>
        <v/>
      </c>
      <c r="M949" s="507" t="str">
        <f t="shared" si="1142"/>
        <v/>
      </c>
      <c r="N949" s="507"/>
      <c r="O949" s="507" t="str">
        <f t="shared" si="1143"/>
        <v/>
      </c>
      <c r="P949" s="508"/>
      <c r="Q949" s="509" t="str">
        <f>IF(F949="인","노임"&amp;VLOOKUP($C:$C,노임!C:G,5,FALSE)&amp;"번","단가"&amp;VLOOKUP($H:$H,단가!$A:$B,2,FALSE)&amp;"번")</f>
        <v>단가57번</v>
      </c>
      <c r="R949" s="510"/>
      <c r="S949" s="131"/>
      <c r="T949" s="470" t="str">
        <f t="shared" si="1144"/>
        <v>단가57번</v>
      </c>
      <c r="U949" s="470"/>
      <c r="V949" s="549"/>
      <c r="W949" s="471">
        <f t="shared" ref="W949:X949" si="1148">W948</f>
        <v>37</v>
      </c>
      <c r="X949" s="471" t="e">
        <f t="shared" si="1148"/>
        <v>#REF!</v>
      </c>
      <c r="Y949" s="471" t="e">
        <f t="shared" si="1133"/>
        <v>#REF!</v>
      </c>
      <c r="Z949" s="471"/>
      <c r="AA949" s="471"/>
      <c r="AB949" s="470"/>
      <c r="AC949" s="470"/>
      <c r="AD949" s="470"/>
      <c r="AE949" s="470"/>
      <c r="AF949" s="470"/>
      <c r="AG949" s="470"/>
      <c r="AH949" s="470"/>
      <c r="AI949" s="470"/>
      <c r="AJ949" s="470"/>
      <c r="AK949" s="470"/>
      <c r="AL949" s="470"/>
      <c r="AM949" s="470"/>
      <c r="AN949" s="470"/>
    </row>
    <row r="950" spans="1:40" s="470" customFormat="1" ht="15.75" customHeight="1" x14ac:dyDescent="0.15">
      <c r="B950" s="95"/>
      <c r="C950" s="140" t="s">
        <v>817</v>
      </c>
      <c r="D950" s="95"/>
      <c r="E950" s="141"/>
      <c r="F950" s="96" t="s">
        <v>750</v>
      </c>
      <c r="G950" s="505">
        <f>0.066</f>
        <v>6.6000000000000003E-2</v>
      </c>
      <c r="H950" s="463" t="str">
        <f t="shared" si="1129"/>
        <v>도장공인</v>
      </c>
      <c r="I950" s="451" t="str">
        <f t="shared" si="1140"/>
        <v>도장공인</v>
      </c>
      <c r="J950" s="506" t="str">
        <f>IF(OR($F950="인",$F950=""),"",VLOOKUP($H950,단가!$A:$S,19,FALSE))</f>
        <v/>
      </c>
      <c r="K950" s="507" t="str">
        <f t="shared" si="1141"/>
        <v/>
      </c>
      <c r="L950" s="506">
        <f>IF($F950="인",VLOOKUP($C:$C,노임!$C:$G,4,FALSE),"")</f>
        <v>148659</v>
      </c>
      <c r="M950" s="507">
        <f t="shared" si="1142"/>
        <v>9811</v>
      </c>
      <c r="N950" s="507"/>
      <c r="O950" s="507" t="str">
        <f t="shared" si="1143"/>
        <v/>
      </c>
      <c r="P950" s="508"/>
      <c r="Q950" s="509" t="str">
        <f>IF(F950="인","노임"&amp;VLOOKUP($C:$C,노임!C:G,5,FALSE)&amp;"번","단가"&amp;VLOOKUP($H:$H,단가!$A:$B,2,FALSE)&amp;"번")</f>
        <v>노임1029번</v>
      </c>
      <c r="R950" s="510"/>
      <c r="S950" s="131"/>
      <c r="T950" s="470" t="str">
        <f t="shared" si="1144"/>
        <v>노임1029번</v>
      </c>
      <c r="V950" s="549"/>
      <c r="W950" s="471">
        <f t="shared" ref="W950:X950" si="1149">W949</f>
        <v>37</v>
      </c>
      <c r="X950" s="471" t="e">
        <f t="shared" si="1149"/>
        <v>#REF!</v>
      </c>
      <c r="Y950" s="471" t="e">
        <f t="shared" si="1133"/>
        <v>#REF!</v>
      </c>
      <c r="Z950" s="471"/>
      <c r="AA950" s="471"/>
    </row>
    <row r="951" spans="1:40" s="470" customFormat="1" ht="15.75" customHeight="1" x14ac:dyDescent="0.15">
      <c r="B951" s="95"/>
      <c r="C951" s="140" t="s">
        <v>767</v>
      </c>
      <c r="D951" s="95"/>
      <c r="E951" s="141"/>
      <c r="F951" s="96" t="s">
        <v>750</v>
      </c>
      <c r="G951" s="505">
        <f>0.018</f>
        <v>1.7999999999999999E-2</v>
      </c>
      <c r="H951" s="463" t="str">
        <f t="shared" si="1129"/>
        <v>보통인부인</v>
      </c>
      <c r="I951" s="451" t="str">
        <f t="shared" si="1140"/>
        <v>보통인부인</v>
      </c>
      <c r="J951" s="506" t="str">
        <f>IF(OR($F951="인",$F951=""),"",VLOOKUP($H951,단가!$A:$S,19,FALSE))</f>
        <v/>
      </c>
      <c r="K951" s="507" t="str">
        <f t="shared" si="1141"/>
        <v/>
      </c>
      <c r="L951" s="506">
        <f>IF($F951="인",VLOOKUP($C:$C,노임!$C:$G,4,FALSE),"")</f>
        <v>106846</v>
      </c>
      <c r="M951" s="507">
        <f t="shared" si="1142"/>
        <v>1923</v>
      </c>
      <c r="N951" s="507"/>
      <c r="O951" s="507" t="str">
        <f t="shared" si="1143"/>
        <v/>
      </c>
      <c r="P951" s="508"/>
      <c r="Q951" s="509" t="str">
        <f>IF(F951="인","노임"&amp;VLOOKUP($C:$C,노임!C:G,5,FALSE)&amp;"번","단가"&amp;VLOOKUP($H:$H,단가!$A:$B,2,FALSE)&amp;"번")</f>
        <v>노임1002번</v>
      </c>
      <c r="R951" s="510"/>
      <c r="S951" s="131"/>
      <c r="T951" s="470" t="str">
        <f t="shared" si="1144"/>
        <v>노임1002번</v>
      </c>
      <c r="V951" s="549"/>
      <c r="W951" s="471">
        <f t="shared" ref="W951:X951" si="1150">W950</f>
        <v>37</v>
      </c>
      <c r="X951" s="471" t="e">
        <f t="shared" si="1150"/>
        <v>#REF!</v>
      </c>
      <c r="Y951" s="471" t="e">
        <f t="shared" si="1133"/>
        <v>#REF!</v>
      </c>
      <c r="Z951" s="471"/>
      <c r="AA951" s="471"/>
      <c r="AD951" s="457"/>
      <c r="AE951" s="457"/>
    </row>
    <row r="952" spans="1:40" s="470" customFormat="1" ht="15.75" customHeight="1" x14ac:dyDescent="0.15">
      <c r="B952" s="95"/>
      <c r="C952" s="140" t="s">
        <v>373</v>
      </c>
      <c r="D952" s="95"/>
      <c r="E952" s="141" t="s">
        <v>519</v>
      </c>
      <c r="F952" s="94" t="s">
        <v>777</v>
      </c>
      <c r="G952" s="505">
        <v>1</v>
      </c>
      <c r="H952" s="463" t="str">
        <f t="shared" si="1129"/>
        <v>공구손료인력품의2%식</v>
      </c>
      <c r="I952" s="451" t="str">
        <f t="shared" si="1140"/>
        <v>공구손료인력품의2%식</v>
      </c>
      <c r="J952" s="506">
        <f>TRUNC((M950+M951)*2%,0)</f>
        <v>234</v>
      </c>
      <c r="K952" s="507">
        <f t="shared" si="1141"/>
        <v>234</v>
      </c>
      <c r="L952" s="506"/>
      <c r="M952" s="507"/>
      <c r="N952" s="507"/>
      <c r="O952" s="507"/>
      <c r="P952" s="508"/>
      <c r="Q952" s="512"/>
      <c r="R952" s="534"/>
      <c r="S952" s="131"/>
      <c r="T952" s="470" t="str">
        <f t="shared" si="1144"/>
        <v/>
      </c>
      <c r="V952" s="549"/>
      <c r="W952" s="471">
        <f t="shared" ref="W952:X952" si="1151">W951</f>
        <v>37</v>
      </c>
      <c r="X952" s="471" t="e">
        <f t="shared" si="1151"/>
        <v>#REF!</v>
      </c>
      <c r="Y952" s="471" t="e">
        <f t="shared" si="1133"/>
        <v>#REF!</v>
      </c>
      <c r="Z952" s="471"/>
      <c r="AA952" s="471"/>
    </row>
    <row r="953" spans="1:40" s="470" customFormat="1" ht="15.75" customHeight="1" x14ac:dyDescent="0.15">
      <c r="B953" s="95"/>
      <c r="C953" s="140"/>
      <c r="D953" s="95"/>
      <c r="E953" s="141"/>
      <c r="F953" s="94"/>
      <c r="G953" s="505"/>
      <c r="H953" s="463" t="str">
        <f t="shared" si="1129"/>
        <v/>
      </c>
      <c r="I953" s="451"/>
      <c r="J953" s="506"/>
      <c r="K953" s="507"/>
      <c r="L953" s="506"/>
      <c r="M953" s="507"/>
      <c r="N953" s="507"/>
      <c r="O953" s="507"/>
      <c r="P953" s="508"/>
      <c r="Q953" s="512"/>
      <c r="R953" s="534"/>
      <c r="S953" s="131"/>
      <c r="T953" s="470" t="str">
        <f t="shared" si="1144"/>
        <v/>
      </c>
      <c r="V953" s="549"/>
      <c r="W953" s="471">
        <f t="shared" ref="W953:X953" si="1152">W952</f>
        <v>37</v>
      </c>
      <c r="X953" s="471" t="e">
        <f t="shared" si="1152"/>
        <v>#REF!</v>
      </c>
      <c r="Y953" s="471" t="e">
        <f t="shared" si="1133"/>
        <v>#REF!</v>
      </c>
      <c r="Z953" s="471"/>
      <c r="AA953" s="471"/>
    </row>
    <row r="954" spans="1:40" s="470" customFormat="1" ht="15.75" customHeight="1" x14ac:dyDescent="0.15">
      <c r="B954" s="95"/>
      <c r="C954" s="140"/>
      <c r="D954" s="95"/>
      <c r="E954" s="141"/>
      <c r="F954" s="94"/>
      <c r="G954" s="505"/>
      <c r="H954" s="463" t="str">
        <f t="shared" si="1129"/>
        <v/>
      </c>
      <c r="I954" s="451"/>
      <c r="J954" s="506"/>
      <c r="K954" s="507"/>
      <c r="L954" s="506"/>
      <c r="M954" s="507"/>
      <c r="N954" s="507"/>
      <c r="O954" s="507"/>
      <c r="P954" s="508"/>
      <c r="Q954" s="512"/>
      <c r="R954" s="534"/>
      <c r="S954" s="131"/>
      <c r="T954" s="470" t="str">
        <f t="shared" si="1144"/>
        <v/>
      </c>
      <c r="V954" s="549"/>
      <c r="W954" s="471">
        <f t="shared" ref="W954:X954" si="1153">W953</f>
        <v>37</v>
      </c>
      <c r="X954" s="471" t="e">
        <f t="shared" si="1153"/>
        <v>#REF!</v>
      </c>
      <c r="Y954" s="471" t="e">
        <f t="shared" si="1133"/>
        <v>#REF!</v>
      </c>
      <c r="Z954" s="471"/>
      <c r="AA954" s="471"/>
    </row>
    <row r="955" spans="1:40" s="470" customFormat="1" ht="15.75" customHeight="1" x14ac:dyDescent="0.15">
      <c r="B955" s="95"/>
      <c r="C955" s="140"/>
      <c r="D955" s="95"/>
      <c r="E955" s="141"/>
      <c r="F955" s="94"/>
      <c r="G955" s="505"/>
      <c r="H955" s="463" t="str">
        <f t="shared" si="1129"/>
        <v/>
      </c>
      <c r="I955" s="451"/>
      <c r="J955" s="506"/>
      <c r="K955" s="507"/>
      <c r="L955" s="506"/>
      <c r="M955" s="507"/>
      <c r="N955" s="507"/>
      <c r="O955" s="507"/>
      <c r="P955" s="508"/>
      <c r="Q955" s="512"/>
      <c r="R955" s="534"/>
      <c r="S955" s="131"/>
      <c r="T955" s="470" t="str">
        <f t="shared" si="1144"/>
        <v/>
      </c>
      <c r="V955" s="549"/>
      <c r="W955" s="471">
        <f t="shared" ref="W955:X955" si="1154">W954</f>
        <v>37</v>
      </c>
      <c r="X955" s="471" t="e">
        <f t="shared" si="1154"/>
        <v>#REF!</v>
      </c>
      <c r="Y955" s="471" t="e">
        <f t="shared" si="1133"/>
        <v>#REF!</v>
      </c>
      <c r="Z955" s="471"/>
      <c r="AA955" s="471"/>
    </row>
    <row r="956" spans="1:40" s="470" customFormat="1" ht="15.75" customHeight="1" x14ac:dyDescent="0.15">
      <c r="B956" s="95"/>
      <c r="C956" s="140"/>
      <c r="D956" s="95"/>
      <c r="E956" s="141"/>
      <c r="F956" s="94"/>
      <c r="G956" s="505"/>
      <c r="H956" s="463" t="str">
        <f t="shared" si="1129"/>
        <v/>
      </c>
      <c r="I956" s="451"/>
      <c r="J956" s="506"/>
      <c r="K956" s="507"/>
      <c r="L956" s="506"/>
      <c r="M956" s="507"/>
      <c r="N956" s="507"/>
      <c r="O956" s="507"/>
      <c r="P956" s="508"/>
      <c r="Q956" s="512"/>
      <c r="R956" s="534"/>
      <c r="S956" s="131"/>
      <c r="T956" s="470" t="str">
        <f t="shared" si="1144"/>
        <v/>
      </c>
      <c r="V956" s="549"/>
      <c r="W956" s="471">
        <f t="shared" ref="W956:X956" si="1155">W955</f>
        <v>37</v>
      </c>
      <c r="X956" s="471" t="e">
        <f t="shared" si="1155"/>
        <v>#REF!</v>
      </c>
      <c r="Y956" s="471" t="e">
        <f t="shared" si="1133"/>
        <v>#REF!</v>
      </c>
      <c r="Z956" s="471"/>
      <c r="AA956" s="471"/>
      <c r="AB956" s="457"/>
    </row>
    <row r="957" spans="1:40" s="470" customFormat="1" ht="15.75" customHeight="1" x14ac:dyDescent="0.15">
      <c r="B957" s="95"/>
      <c r="C957" s="140"/>
      <c r="D957" s="95"/>
      <c r="E957" s="141"/>
      <c r="F957" s="94"/>
      <c r="G957" s="505"/>
      <c r="H957" s="463" t="str">
        <f t="shared" si="1129"/>
        <v/>
      </c>
      <c r="I957" s="451"/>
      <c r="J957" s="506"/>
      <c r="K957" s="507"/>
      <c r="L957" s="506"/>
      <c r="M957" s="507"/>
      <c r="N957" s="507"/>
      <c r="O957" s="507"/>
      <c r="P957" s="508"/>
      <c r="Q957" s="512"/>
      <c r="R957" s="534"/>
      <c r="S957" s="131"/>
      <c r="T957" s="470" t="str">
        <f t="shared" si="1144"/>
        <v/>
      </c>
      <c r="V957" s="549"/>
      <c r="W957" s="471">
        <f t="shared" ref="W957:X957" si="1156">W956</f>
        <v>37</v>
      </c>
      <c r="X957" s="471" t="e">
        <f t="shared" si="1156"/>
        <v>#REF!</v>
      </c>
      <c r="Y957" s="471" t="e">
        <f t="shared" si="1133"/>
        <v>#REF!</v>
      </c>
      <c r="Z957" s="471"/>
      <c r="AA957" s="471"/>
    </row>
    <row r="958" spans="1:40" s="470" customFormat="1" ht="15.75" customHeight="1" x14ac:dyDescent="0.15">
      <c r="B958" s="95"/>
      <c r="C958" s="140"/>
      <c r="D958" s="95"/>
      <c r="E958" s="141"/>
      <c r="F958" s="94"/>
      <c r="G958" s="505"/>
      <c r="H958" s="463" t="str">
        <f t="shared" si="1129"/>
        <v/>
      </c>
      <c r="I958" s="451"/>
      <c r="J958" s="506"/>
      <c r="K958" s="507"/>
      <c r="L958" s="506"/>
      <c r="M958" s="507"/>
      <c r="N958" s="507"/>
      <c r="O958" s="507"/>
      <c r="P958" s="508"/>
      <c r="Q958" s="512"/>
      <c r="R958" s="534"/>
      <c r="S958" s="131"/>
      <c r="T958" s="470" t="str">
        <f t="shared" si="1144"/>
        <v/>
      </c>
      <c r="V958" s="549"/>
      <c r="W958" s="471">
        <f t="shared" ref="W958:X958" si="1157">W957</f>
        <v>37</v>
      </c>
      <c r="X958" s="471" t="e">
        <f t="shared" si="1157"/>
        <v>#REF!</v>
      </c>
      <c r="Y958" s="471" t="e">
        <f t="shared" si="1133"/>
        <v>#REF!</v>
      </c>
      <c r="Z958" s="471"/>
      <c r="AA958" s="471"/>
    </row>
    <row r="959" spans="1:40" s="470" customFormat="1" ht="15.75" customHeight="1" x14ac:dyDescent="0.15">
      <c r="B959" s="95"/>
      <c r="C959" s="140"/>
      <c r="D959" s="95"/>
      <c r="E959" s="141"/>
      <c r="F959" s="94"/>
      <c r="G959" s="505"/>
      <c r="H959" s="463" t="str">
        <f t="shared" si="1129"/>
        <v/>
      </c>
      <c r="I959" s="451"/>
      <c r="J959" s="506"/>
      <c r="K959" s="507"/>
      <c r="L959" s="506"/>
      <c r="M959" s="507"/>
      <c r="N959" s="507"/>
      <c r="O959" s="507"/>
      <c r="P959" s="508"/>
      <c r="Q959" s="512"/>
      <c r="R959" s="513"/>
      <c r="S959" s="131"/>
      <c r="T959" s="470" t="str">
        <f t="shared" si="1144"/>
        <v/>
      </c>
      <c r="V959" s="549"/>
      <c r="W959" s="471">
        <f t="shared" ref="W959:X959" si="1158">W958</f>
        <v>37</v>
      </c>
      <c r="X959" s="471" t="e">
        <f t="shared" si="1158"/>
        <v>#REF!</v>
      </c>
      <c r="Y959" s="471" t="e">
        <f t="shared" si="1133"/>
        <v>#REF!</v>
      </c>
      <c r="Z959" s="471"/>
      <c r="AA959" s="471"/>
      <c r="AB959" s="457"/>
    </row>
    <row r="960" spans="1:40" s="470" customFormat="1" ht="15.75" customHeight="1" x14ac:dyDescent="0.15">
      <c r="B960" s="514" t="s">
        <v>751</v>
      </c>
      <c r="C960" s="515"/>
      <c r="D960" s="516"/>
      <c r="E960" s="517"/>
      <c r="F960" s="518"/>
      <c r="G960" s="519"/>
      <c r="H960" s="463" t="str">
        <f t="shared" si="1129"/>
        <v/>
      </c>
      <c r="I960" s="520">
        <f>목록!$B$43</f>
        <v>37</v>
      </c>
      <c r="J960" s="521"/>
      <c r="K960" s="522">
        <f>SUM(K946:K959)</f>
        <v>2130</v>
      </c>
      <c r="L960" s="521"/>
      <c r="M960" s="522">
        <f>SUM(M946:M959)</f>
        <v>11734</v>
      </c>
      <c r="N960" s="521"/>
      <c r="O960" s="522">
        <f>SUM(O946:O959)</f>
        <v>0</v>
      </c>
      <c r="P960" s="523"/>
      <c r="Q960" s="512"/>
      <c r="R960" s="513"/>
      <c r="S960" s="524"/>
      <c r="T960" s="470" t="str">
        <f t="shared" si="1144"/>
        <v/>
      </c>
      <c r="V960" s="549"/>
      <c r="W960" s="471">
        <f t="shared" ref="W960:X960" si="1159">W959</f>
        <v>37</v>
      </c>
      <c r="X960" s="471" t="e">
        <f t="shared" si="1159"/>
        <v>#REF!</v>
      </c>
      <c r="Y960" s="471" t="e">
        <f t="shared" si="1133"/>
        <v>#REF!</v>
      </c>
      <c r="Z960" s="471"/>
      <c r="AA960" s="471"/>
      <c r="AB960" s="457"/>
    </row>
    <row r="961" spans="1:40" s="470" customFormat="1" ht="15.75" customHeight="1" x14ac:dyDescent="0.15">
      <c r="B961" s="453"/>
      <c r="C961" s="209"/>
      <c r="D961" s="95"/>
      <c r="E961" s="141"/>
      <c r="F961" s="94"/>
      <c r="G961" s="505"/>
      <c r="H961" s="463" t="str">
        <f t="shared" si="1129"/>
        <v/>
      </c>
      <c r="I961" s="451"/>
      <c r="J961" s="506"/>
      <c r="K961" s="507"/>
      <c r="L961" s="506"/>
      <c r="M961" s="507"/>
      <c r="N961" s="507"/>
      <c r="O961" s="507"/>
      <c r="P961" s="508"/>
      <c r="Q961" s="512"/>
      <c r="R961" s="513"/>
      <c r="S961" s="131"/>
      <c r="T961" s="470" t="str">
        <f t="shared" si="1144"/>
        <v/>
      </c>
      <c r="V961" s="549"/>
      <c r="W961" s="615">
        <f t="shared" ref="W961:X961" si="1160">W960</f>
        <v>37</v>
      </c>
      <c r="X961" s="471" t="e">
        <f t="shared" si="1160"/>
        <v>#REF!</v>
      </c>
      <c r="Y961" s="471" t="e">
        <f t="shared" si="1133"/>
        <v>#REF!</v>
      </c>
      <c r="Z961" s="471"/>
      <c r="AA961" s="471"/>
      <c r="AB961" s="457"/>
    </row>
    <row r="962" spans="1:40" s="470" customFormat="1" ht="15.75" customHeight="1" x14ac:dyDescent="0.15">
      <c r="A962" s="457"/>
      <c r="B962" s="453"/>
      <c r="C962" s="630" t="s">
        <v>1150</v>
      </c>
      <c r="D962" s="95"/>
      <c r="E962" s="141"/>
      <c r="F962" s="94"/>
      <c r="G962" s="505"/>
      <c r="H962" s="463" t="str">
        <f t="shared" si="1129"/>
        <v>※ 건축표준품셈 17-1-1 2.석고보드면(ALL PUTTY)</v>
      </c>
      <c r="I962" s="451"/>
      <c r="J962" s="506"/>
      <c r="K962" s="507"/>
      <c r="L962" s="506"/>
      <c r="M962" s="507"/>
      <c r="N962" s="507"/>
      <c r="O962" s="507"/>
      <c r="P962" s="508"/>
      <c r="Q962" s="512"/>
      <c r="R962" s="513"/>
      <c r="S962" s="131"/>
      <c r="T962" s="470" t="str">
        <f t="shared" si="1144"/>
        <v/>
      </c>
      <c r="V962" s="551"/>
      <c r="W962" s="471">
        <f t="shared" ref="W962:X962" si="1161">W961</f>
        <v>37</v>
      </c>
      <c r="X962" s="471" t="e">
        <f t="shared" si="1161"/>
        <v>#REF!</v>
      </c>
      <c r="Y962" s="471" t="e">
        <f t="shared" si="1133"/>
        <v>#REF!</v>
      </c>
      <c r="Z962" s="471"/>
      <c r="AA962" s="471"/>
      <c r="AB962" s="457"/>
    </row>
    <row r="963" spans="1:40" s="470" customFormat="1" ht="15.75" customHeight="1" x14ac:dyDescent="0.15">
      <c r="B963" s="514"/>
      <c r="C963" s="515"/>
      <c r="D963" s="516"/>
      <c r="E963" s="517"/>
      <c r="F963" s="518"/>
      <c r="G963" s="519"/>
      <c r="H963" s="463" t="str">
        <f t="shared" si="1129"/>
        <v/>
      </c>
      <c r="I963" s="520"/>
      <c r="J963" s="521"/>
      <c r="K963" s="522"/>
      <c r="L963" s="521"/>
      <c r="M963" s="522"/>
      <c r="N963" s="521"/>
      <c r="O963" s="522"/>
      <c r="P963" s="523"/>
      <c r="Q963" s="512"/>
      <c r="R963" s="513"/>
      <c r="S963" s="524"/>
      <c r="T963" s="470" t="str">
        <f t="shared" si="1144"/>
        <v/>
      </c>
      <c r="U963" s="457"/>
      <c r="W963" s="471">
        <f t="shared" ref="W963:X963" si="1162">W962</f>
        <v>37</v>
      </c>
      <c r="X963" s="471" t="e">
        <f t="shared" si="1162"/>
        <v>#REF!</v>
      </c>
      <c r="Y963" s="471" t="e">
        <f t="shared" si="1133"/>
        <v>#REF!</v>
      </c>
      <c r="Z963" s="471"/>
      <c r="AA963" s="471"/>
      <c r="AB963" s="457"/>
      <c r="AC963" s="457"/>
      <c r="AD963" s="457"/>
      <c r="AE963" s="457"/>
      <c r="AF963" s="457"/>
      <c r="AG963" s="457"/>
      <c r="AH963" s="457"/>
      <c r="AI963" s="457"/>
      <c r="AJ963" s="457"/>
      <c r="AK963" s="457"/>
      <c r="AL963" s="457"/>
      <c r="AM963" s="457"/>
      <c r="AN963" s="457"/>
    </row>
    <row r="964" spans="1:40" s="457" customFormat="1" ht="15.75" customHeight="1" x14ac:dyDescent="0.15">
      <c r="A964" s="470"/>
      <c r="C964" s="458"/>
      <c r="D964" s="459"/>
      <c r="E964" s="460"/>
      <c r="F964" s="461"/>
      <c r="G964" s="462"/>
      <c r="H964" s="463" t="str">
        <f t="shared" ref="H964:H989" si="1163">CONCATENATE(C964,E964,F964)</f>
        <v/>
      </c>
      <c r="I964" s="464"/>
      <c r="J964" s="465"/>
      <c r="K964" s="465"/>
      <c r="L964" s="465"/>
      <c r="M964" s="465"/>
      <c r="N964" s="465"/>
      <c r="O964" s="466"/>
      <c r="P964" s="467"/>
      <c r="Q964" s="468"/>
      <c r="R964" s="469"/>
      <c r="S964" s="467"/>
      <c r="T964" s="470" t="str">
        <f t="shared" si="1144"/>
        <v/>
      </c>
      <c r="U964" s="470"/>
      <c r="V964" s="470"/>
      <c r="W964" s="533">
        <f t="shared" ref="W964" si="1164">I986</f>
        <v>38</v>
      </c>
      <c r="X964" s="533" t="e">
        <f t="shared" ref="X964" si="1165">X963+1</f>
        <v>#REF!</v>
      </c>
      <c r="Y964" s="533" t="e">
        <f t="shared" si="1133"/>
        <v>#REF!</v>
      </c>
      <c r="Z964" s="533"/>
      <c r="AA964" s="533"/>
      <c r="AC964" s="470"/>
      <c r="AD964" s="470"/>
      <c r="AE964" s="470"/>
      <c r="AF964" s="470"/>
      <c r="AG964" s="470"/>
      <c r="AH964" s="470"/>
      <c r="AI964" s="470"/>
      <c r="AJ964" s="470"/>
      <c r="AK964" s="470"/>
      <c r="AL964" s="470"/>
      <c r="AM964" s="470"/>
      <c r="AN964" s="470"/>
    </row>
    <row r="965" spans="1:40" s="470" customFormat="1" ht="15.75" customHeight="1" x14ac:dyDescent="0.15">
      <c r="A965" s="457"/>
      <c r="B965" s="473"/>
      <c r="C965" s="474" t="str">
        <f>"   항목번호 : "&amp;목록!L$44</f>
        <v xml:space="preserve">   항목번호 : 제38호표</v>
      </c>
      <c r="D965" s="475">
        <f>목록!B$43</f>
        <v>37</v>
      </c>
      <c r="E965" s="476"/>
      <c r="F965" s="477"/>
      <c r="G965" s="478"/>
      <c r="H965" s="463" t="str">
        <f t="shared" si="1163"/>
        <v xml:space="preserve">   항목번호 : 제38호표</v>
      </c>
      <c r="I965" s="479"/>
      <c r="J965" s="480"/>
      <c r="K965" s="481"/>
      <c r="L965" s="482"/>
      <c r="M965" s="482"/>
      <c r="N965" s="482"/>
      <c r="O965" s="466"/>
      <c r="P965" s="483"/>
      <c r="Q965" s="484"/>
      <c r="R965" s="485"/>
      <c r="S965" s="483"/>
      <c r="T965" s="470" t="str">
        <f t="shared" si="1144"/>
        <v/>
      </c>
      <c r="V965" s="551"/>
      <c r="W965" s="471">
        <f t="shared" ref="W965:X965" si="1166">W964</f>
        <v>38</v>
      </c>
      <c r="X965" s="471" t="e">
        <f t="shared" si="1166"/>
        <v>#REF!</v>
      </c>
      <c r="Y965" s="471" t="e">
        <f t="shared" si="1133"/>
        <v>#REF!</v>
      </c>
      <c r="Z965" s="471"/>
      <c r="AA965" s="471"/>
      <c r="AB965" s="457"/>
    </row>
    <row r="966" spans="1:40" s="470" customFormat="1" ht="15.75" customHeight="1" x14ac:dyDescent="0.15">
      <c r="A966" s="457"/>
      <c r="B966" s="473"/>
      <c r="C966" s="474" t="str">
        <f>"   공      종 : "&amp;목록!D$44</f>
        <v xml:space="preserve">   공      종 : ALL PUTTY(천정)</v>
      </c>
      <c r="D966" s="484"/>
      <c r="E966" s="476"/>
      <c r="F966" s="473"/>
      <c r="G966" s="478"/>
      <c r="H966" s="463" t="str">
        <f t="shared" si="1163"/>
        <v xml:space="preserve">   공      종 : ALL PUTTY(천정)</v>
      </c>
      <c r="I966" s="479"/>
      <c r="J966" s="480"/>
      <c r="K966" s="481"/>
      <c r="L966" s="482"/>
      <c r="M966" s="482"/>
      <c r="N966" s="482"/>
      <c r="O966" s="466"/>
      <c r="P966" s="483"/>
      <c r="Q966" s="484"/>
      <c r="R966" s="485"/>
      <c r="S966" s="483"/>
      <c r="T966" s="470" t="str">
        <f t="shared" si="1144"/>
        <v/>
      </c>
      <c r="U966" s="457"/>
      <c r="W966" s="471">
        <f t="shared" ref="W966:X966" si="1167">W965</f>
        <v>38</v>
      </c>
      <c r="X966" s="471" t="e">
        <f t="shared" si="1167"/>
        <v>#REF!</v>
      </c>
      <c r="Y966" s="471" t="e">
        <f t="shared" si="1133"/>
        <v>#REF!</v>
      </c>
      <c r="Z966" s="471"/>
      <c r="AA966" s="471"/>
      <c r="AB966" s="457"/>
      <c r="AC966" s="457"/>
      <c r="AD966" s="457"/>
      <c r="AE966" s="457"/>
      <c r="AF966" s="457"/>
      <c r="AG966" s="457"/>
      <c r="AH966" s="457"/>
      <c r="AI966" s="457"/>
      <c r="AJ966" s="457"/>
      <c r="AK966" s="457"/>
      <c r="AL966" s="457"/>
      <c r="AM966" s="457"/>
      <c r="AN966" s="457"/>
    </row>
    <row r="967" spans="1:40" s="457" customFormat="1" ht="15.75" customHeight="1" x14ac:dyDescent="0.15">
      <c r="B967" s="473"/>
      <c r="C967" s="474" t="str">
        <f xml:space="preserve"> "   규      격 : "&amp;목록!F$44</f>
        <v xml:space="preserve">   규      격 : 석고보드면, 합판면</v>
      </c>
      <c r="D967" s="484"/>
      <c r="E967" s="476"/>
      <c r="F967" s="473"/>
      <c r="G967" s="478"/>
      <c r="H967" s="463" t="str">
        <f t="shared" si="1163"/>
        <v xml:space="preserve">   규      격 : 석고보드면, 합판면</v>
      </c>
      <c r="I967" s="479"/>
      <c r="J967" s="480" t="s">
        <v>348</v>
      </c>
      <c r="K967" s="481"/>
      <c r="L967" s="482" t="s">
        <v>349</v>
      </c>
      <c r="M967" s="482"/>
      <c r="N967" s="482" t="s">
        <v>240</v>
      </c>
      <c r="O967" s="466"/>
      <c r="P967" s="483"/>
      <c r="Q967" s="484" t="s">
        <v>723</v>
      </c>
      <c r="R967" s="484"/>
      <c r="S967" s="483"/>
      <c r="T967" s="470" t="str">
        <f t="shared" si="1144"/>
        <v>합계</v>
      </c>
      <c r="V967" s="547"/>
      <c r="W967" s="471">
        <f t="shared" ref="W967:X967" si="1168">W966</f>
        <v>38</v>
      </c>
      <c r="X967" s="471" t="e">
        <f t="shared" si="1168"/>
        <v>#REF!</v>
      </c>
      <c r="Y967" s="471" t="e">
        <f t="shared" si="1133"/>
        <v>#REF!</v>
      </c>
      <c r="Z967" s="471"/>
      <c r="AA967" s="471"/>
    </row>
    <row r="968" spans="1:40" s="457" customFormat="1" ht="15.75" customHeight="1" x14ac:dyDescent="0.15">
      <c r="B968" s="473"/>
      <c r="C968" s="474" t="str">
        <f>"   단      위 : "&amp;목록!G$44</f>
        <v xml:space="preserve">   단      위 : ㎡</v>
      </c>
      <c r="D968" s="484"/>
      <c r="E968" s="476"/>
      <c r="F968" s="473"/>
      <c r="G968" s="478"/>
      <c r="H968" s="463" t="str">
        <f t="shared" si="1163"/>
        <v xml:space="preserve">   단      위 : ㎡</v>
      </c>
      <c r="I968" s="479"/>
      <c r="J968" s="486">
        <f>K986</f>
        <v>2177</v>
      </c>
      <c r="K968" s="481"/>
      <c r="L968" s="487">
        <f>M986</f>
        <v>14080</v>
      </c>
      <c r="M968" s="482"/>
      <c r="N968" s="482">
        <f>O986</f>
        <v>0</v>
      </c>
      <c r="O968" s="466"/>
      <c r="P968" s="483"/>
      <c r="Q968" s="488">
        <f>J968+L968+N968</f>
        <v>16257</v>
      </c>
      <c r="R968" s="489"/>
      <c r="S968" s="483"/>
      <c r="T968" s="470" t="str">
        <f t="shared" si="1144"/>
        <v>16257</v>
      </c>
      <c r="V968" s="547"/>
      <c r="W968" s="471">
        <f t="shared" ref="W968:X968" si="1169">W967</f>
        <v>38</v>
      </c>
      <c r="X968" s="471" t="e">
        <f t="shared" si="1169"/>
        <v>#REF!</v>
      </c>
      <c r="Y968" s="471" t="e">
        <f t="shared" si="1133"/>
        <v>#REF!</v>
      </c>
      <c r="Z968" s="471"/>
      <c r="AA968" s="471"/>
      <c r="AB968" s="470"/>
    </row>
    <row r="969" spans="1:40" s="457" customFormat="1" ht="15.75" customHeight="1" x14ac:dyDescent="0.15">
      <c r="B969" s="473"/>
      <c r="C969" s="474"/>
      <c r="D969" s="484"/>
      <c r="E969" s="476"/>
      <c r="F969" s="473"/>
      <c r="G969" s="490"/>
      <c r="H969" s="463" t="str">
        <f t="shared" si="1163"/>
        <v/>
      </c>
      <c r="I969" s="491"/>
      <c r="J969" s="482"/>
      <c r="K969" s="465"/>
      <c r="L969" s="482"/>
      <c r="M969" s="482"/>
      <c r="N969" s="482"/>
      <c r="O969" s="466"/>
      <c r="P969" s="492"/>
      <c r="Q969" s="493"/>
      <c r="R969" s="485"/>
      <c r="S969" s="492"/>
      <c r="T969" s="470" t="str">
        <f t="shared" si="1144"/>
        <v/>
      </c>
      <c r="V969" s="547"/>
      <c r="W969" s="471">
        <f t="shared" ref="W969:X969" si="1170">W968</f>
        <v>38</v>
      </c>
      <c r="X969" s="471" t="e">
        <f t="shared" si="1170"/>
        <v>#REF!</v>
      </c>
      <c r="Y969" s="471" t="e">
        <f t="shared" si="1133"/>
        <v>#REF!</v>
      </c>
      <c r="Z969" s="471"/>
      <c r="AA969" s="471"/>
      <c r="AB969" s="470"/>
    </row>
    <row r="970" spans="1:40" s="457" customFormat="1" ht="15.75" customHeight="1" x14ac:dyDescent="0.15">
      <c r="B970" s="899" t="s">
        <v>375</v>
      </c>
      <c r="C970" s="900"/>
      <c r="D970" s="907" t="s">
        <v>356</v>
      </c>
      <c r="E970" s="908"/>
      <c r="F970" s="903" t="s">
        <v>785</v>
      </c>
      <c r="G970" s="913" t="s">
        <v>786</v>
      </c>
      <c r="H970" s="463" t="str">
        <f t="shared" si="1163"/>
        <v>단위</v>
      </c>
      <c r="I970" s="494"/>
      <c r="J970" s="495" t="s">
        <v>348</v>
      </c>
      <c r="K970" s="496"/>
      <c r="L970" s="495" t="s">
        <v>349</v>
      </c>
      <c r="M970" s="496"/>
      <c r="N970" s="497" t="s">
        <v>240</v>
      </c>
      <c r="O970" s="497"/>
      <c r="P970" s="498"/>
      <c r="Q970" s="744" t="s">
        <v>355</v>
      </c>
      <c r="R970" s="744"/>
      <c r="S970" s="499"/>
      <c r="T970" s="470" t="str">
        <f t="shared" si="1144"/>
        <v>비  고</v>
      </c>
      <c r="V970" s="547"/>
      <c r="W970" s="471">
        <f t="shared" ref="W970:X970" si="1171">W969</f>
        <v>38</v>
      </c>
      <c r="X970" s="471" t="e">
        <f t="shared" si="1171"/>
        <v>#REF!</v>
      </c>
      <c r="Y970" s="471" t="e">
        <f t="shared" si="1133"/>
        <v>#REF!</v>
      </c>
      <c r="Z970" s="471"/>
      <c r="AA970" s="471"/>
      <c r="AB970" s="470"/>
    </row>
    <row r="971" spans="1:40" s="457" customFormat="1" ht="15.75" customHeight="1" x14ac:dyDescent="0.15">
      <c r="B971" s="901"/>
      <c r="C971" s="902"/>
      <c r="D971" s="909"/>
      <c r="E971" s="910"/>
      <c r="F971" s="904"/>
      <c r="G971" s="914"/>
      <c r="H971" s="463" t="str">
        <f t="shared" si="1163"/>
        <v/>
      </c>
      <c r="I971" s="500"/>
      <c r="J971" s="501" t="s">
        <v>353</v>
      </c>
      <c r="K971" s="501" t="s">
        <v>354</v>
      </c>
      <c r="L971" s="501" t="s">
        <v>353</v>
      </c>
      <c r="M971" s="502" t="s">
        <v>354</v>
      </c>
      <c r="N971" s="501" t="s">
        <v>353</v>
      </c>
      <c r="O971" s="501" t="s">
        <v>354</v>
      </c>
      <c r="P971" s="503"/>
      <c r="Q971" s="745"/>
      <c r="R971" s="745"/>
      <c r="S971" s="504"/>
      <c r="T971" s="470" t="str">
        <f t="shared" si="1144"/>
        <v/>
      </c>
      <c r="V971" s="547"/>
      <c r="W971" s="471">
        <f t="shared" ref="W971:X971" si="1172">W970</f>
        <v>38</v>
      </c>
      <c r="X971" s="471" t="e">
        <f t="shared" si="1172"/>
        <v>#REF!</v>
      </c>
      <c r="Y971" s="471" t="e">
        <f t="shared" si="1133"/>
        <v>#REF!</v>
      </c>
      <c r="Z971" s="471"/>
      <c r="AA971" s="471"/>
      <c r="AB971" s="470"/>
    </row>
    <row r="972" spans="1:40" s="457" customFormat="1" ht="15.75" customHeight="1" x14ac:dyDescent="0.15">
      <c r="A972" s="547"/>
      <c r="B972" s="95"/>
      <c r="C972" s="140" t="s">
        <v>914</v>
      </c>
      <c r="D972" s="95"/>
      <c r="E972" s="141"/>
      <c r="F972" s="96" t="s">
        <v>771</v>
      </c>
      <c r="G972" s="505">
        <v>1.52</v>
      </c>
      <c r="H972" s="463" t="str">
        <f t="shared" si="1163"/>
        <v>석면테이프m</v>
      </c>
      <c r="I972" s="451" t="str">
        <f t="shared" ref="I972:I978" si="1173">CONCATENATE(C972,E972,F972)</f>
        <v>석면테이프m</v>
      </c>
      <c r="J972" s="506">
        <f>IF(OR($F972="인",$F972=""),"",VLOOKUP($H972,단가!$A:$S,19,FALSE))</f>
        <v>367</v>
      </c>
      <c r="K972" s="507">
        <f t="shared" ref="K972:K978" si="1174">IF(J972="","",TRUNC($G972*J972,0))</f>
        <v>557</v>
      </c>
      <c r="L972" s="506" t="str">
        <f>IF($F972="인",VLOOKUP($C:$C,노임!$C:$G,4,FALSE),"")</f>
        <v/>
      </c>
      <c r="M972" s="507" t="str">
        <f t="shared" ref="M972:M977" si="1175">IF(L972="","",TRUNC($G972*L972,0))</f>
        <v/>
      </c>
      <c r="N972" s="507"/>
      <c r="O972" s="507" t="str">
        <f t="shared" ref="O972:O977" si="1176">IF(N972="","",TRUNC($G972*N972,0))</f>
        <v/>
      </c>
      <c r="P972" s="508"/>
      <c r="Q972" s="509" t="str">
        <f>IF(F972="인","노임"&amp;VLOOKUP($C:$C,노임!C:G,5,FALSE)&amp;"번","단가"&amp;VLOOKUP($H:$H,단가!$A:$B,2,FALSE)&amp;"번")</f>
        <v>단가74번</v>
      </c>
      <c r="R972" s="510"/>
      <c r="S972" s="131"/>
      <c r="T972" s="470" t="str">
        <f t="shared" si="1144"/>
        <v>단가74번</v>
      </c>
      <c r="V972" s="548"/>
      <c r="W972" s="471">
        <f t="shared" ref="W972:X972" si="1177">W971</f>
        <v>38</v>
      </c>
      <c r="X972" s="471" t="e">
        <f t="shared" si="1177"/>
        <v>#REF!</v>
      </c>
      <c r="Y972" s="471" t="e">
        <f t="shared" si="1133"/>
        <v>#REF!</v>
      </c>
      <c r="Z972" s="471"/>
      <c r="AA972" s="471"/>
      <c r="AB972" s="470"/>
    </row>
    <row r="973" spans="1:40" s="457" customFormat="1" ht="15.75" customHeight="1" x14ac:dyDescent="0.15">
      <c r="A973" s="547"/>
      <c r="B973" s="95"/>
      <c r="C973" s="143" t="s">
        <v>915</v>
      </c>
      <c r="D973" s="142"/>
      <c r="E973" s="97" t="s">
        <v>916</v>
      </c>
      <c r="F973" s="564" t="s">
        <v>861</v>
      </c>
      <c r="G973" s="505">
        <v>0.32500000000000001</v>
      </c>
      <c r="H973" s="463" t="str">
        <f t="shared" si="1163"/>
        <v>휠러외부용Kg</v>
      </c>
      <c r="I973" s="451" t="str">
        <f t="shared" si="1173"/>
        <v>휠러외부용Kg</v>
      </c>
      <c r="J973" s="506">
        <f>IF(OR($F973="인",$F973=""),"",VLOOKUP($H973,단가!$A:$S,19,FALSE))</f>
        <v>1650</v>
      </c>
      <c r="K973" s="507">
        <f t="shared" si="1174"/>
        <v>536</v>
      </c>
      <c r="L973" s="506" t="str">
        <f>IF($F973="인",VLOOKUP($C:$C,노임!$C:$G,4,FALSE),"")</f>
        <v/>
      </c>
      <c r="M973" s="507" t="str">
        <f t="shared" si="1175"/>
        <v/>
      </c>
      <c r="N973" s="507"/>
      <c r="O973" s="507" t="str">
        <f t="shared" si="1176"/>
        <v/>
      </c>
      <c r="P973" s="508"/>
      <c r="Q973" s="509" t="str">
        <f>IF(F973="인","노임"&amp;VLOOKUP($C:$C,노임!C:G,5,FALSE)&amp;"번","단가"&amp;VLOOKUP($H:$H,단가!$A:$B,2,FALSE)&amp;"번")</f>
        <v>단가40번</v>
      </c>
      <c r="R973" s="510"/>
      <c r="S973" s="131"/>
      <c r="T973" s="470" t="str">
        <f t="shared" si="1144"/>
        <v>단가40번</v>
      </c>
      <c r="V973" s="548"/>
      <c r="W973" s="471">
        <f t="shared" ref="W973:X973" si="1178">W972</f>
        <v>38</v>
      </c>
      <c r="X973" s="471" t="e">
        <f t="shared" si="1178"/>
        <v>#REF!</v>
      </c>
      <c r="Y973" s="471" t="e">
        <f t="shared" si="1133"/>
        <v>#REF!</v>
      </c>
      <c r="Z973" s="471"/>
      <c r="AA973" s="471"/>
      <c r="AB973" s="470"/>
    </row>
    <row r="974" spans="1:40" s="457" customFormat="1" ht="15.75" customHeight="1" x14ac:dyDescent="0.15">
      <c r="A974" s="470"/>
      <c r="B974" s="95"/>
      <c r="C974" s="204" t="s">
        <v>828</v>
      </c>
      <c r="D974" s="205"/>
      <c r="E974" s="206" t="s">
        <v>829</v>
      </c>
      <c r="F974" s="207" t="s">
        <v>800</v>
      </c>
      <c r="G974" s="505">
        <v>0.66700000000000004</v>
      </c>
      <c r="H974" s="463" t="str">
        <f t="shared" si="1163"/>
        <v>퍼티핸디택스(인테리어전용)Kg</v>
      </c>
      <c r="I974" s="451" t="str">
        <f t="shared" si="1173"/>
        <v>퍼티핸디택스(인테리어전용)Kg</v>
      </c>
      <c r="J974" s="506">
        <f>IF(OR($F974="인",$F974=""),"",VLOOKUP($H974,단가!$A:$S,19,FALSE))</f>
        <v>1150</v>
      </c>
      <c r="K974" s="507">
        <f t="shared" si="1174"/>
        <v>767</v>
      </c>
      <c r="L974" s="506" t="str">
        <f>IF($F974="인",VLOOKUP($C:$C,노임!$C:$G,4,FALSE),"")</f>
        <v/>
      </c>
      <c r="M974" s="507" t="str">
        <f t="shared" si="1175"/>
        <v/>
      </c>
      <c r="N974" s="507"/>
      <c r="O974" s="507" t="str">
        <f t="shared" si="1176"/>
        <v/>
      </c>
      <c r="P974" s="508"/>
      <c r="Q974" s="509" t="str">
        <f>IF(F974="인","노임"&amp;VLOOKUP($C:$C,노임!C:G,5,FALSE)&amp;"번","단가"&amp;VLOOKUP($H:$H,단가!$A:$B,2,FALSE)&amp;"번")</f>
        <v>단가39번</v>
      </c>
      <c r="R974" s="510"/>
      <c r="S974" s="131"/>
      <c r="T974" s="470" t="str">
        <f t="shared" si="1144"/>
        <v>단가39번</v>
      </c>
      <c r="V974" s="549"/>
      <c r="W974" s="471">
        <f t="shared" ref="W974:X974" si="1179">W973</f>
        <v>38</v>
      </c>
      <c r="X974" s="471" t="e">
        <f t="shared" si="1179"/>
        <v>#REF!</v>
      </c>
      <c r="Y974" s="471" t="e">
        <f t="shared" si="1133"/>
        <v>#REF!</v>
      </c>
      <c r="Z974" s="471"/>
      <c r="AA974" s="471"/>
      <c r="AB974" s="470"/>
      <c r="AD974" s="470"/>
      <c r="AE974" s="470"/>
    </row>
    <row r="975" spans="1:40" s="457" customFormat="1" ht="15.75" customHeight="1" x14ac:dyDescent="0.15">
      <c r="A975" s="470"/>
      <c r="B975" s="95"/>
      <c r="C975" s="140" t="s">
        <v>830</v>
      </c>
      <c r="D975" s="95"/>
      <c r="E975" s="141" t="s">
        <v>831</v>
      </c>
      <c r="F975" s="96" t="s">
        <v>812</v>
      </c>
      <c r="G975" s="505">
        <f>0.18</f>
        <v>0.18</v>
      </c>
      <c r="H975" s="463" t="str">
        <f t="shared" si="1163"/>
        <v>연마지#120매</v>
      </c>
      <c r="I975" s="451" t="str">
        <f t="shared" si="1173"/>
        <v>연마지#120매</v>
      </c>
      <c r="J975" s="506">
        <f>IF(OR($F975="인",$F975=""),"",VLOOKUP($H975,단가!$A:$S,19,FALSE))</f>
        <v>200</v>
      </c>
      <c r="K975" s="507">
        <f t="shared" si="1174"/>
        <v>36</v>
      </c>
      <c r="L975" s="506" t="str">
        <f>IF($F975="인",VLOOKUP($C:$C,노임!$C:$G,4,FALSE),"")</f>
        <v/>
      </c>
      <c r="M975" s="507" t="str">
        <f t="shared" si="1175"/>
        <v/>
      </c>
      <c r="N975" s="507"/>
      <c r="O975" s="507" t="str">
        <f t="shared" si="1176"/>
        <v/>
      </c>
      <c r="P975" s="508"/>
      <c r="Q975" s="509" t="str">
        <f>IF(F975="인","노임"&amp;VLOOKUP($C:$C,노임!C:G,5,FALSE)&amp;"번","단가"&amp;VLOOKUP($H:$H,단가!$A:$B,2,FALSE)&amp;"번")</f>
        <v>단가57번</v>
      </c>
      <c r="R975" s="510"/>
      <c r="S975" s="131"/>
      <c r="T975" s="470" t="str">
        <f t="shared" si="1144"/>
        <v>단가57번</v>
      </c>
      <c r="U975" s="470"/>
      <c r="V975" s="549"/>
      <c r="W975" s="471">
        <f t="shared" ref="W975:X975" si="1180">W974</f>
        <v>38</v>
      </c>
      <c r="X975" s="471" t="e">
        <f t="shared" si="1180"/>
        <v>#REF!</v>
      </c>
      <c r="Y975" s="471" t="e">
        <f t="shared" si="1133"/>
        <v>#REF!</v>
      </c>
      <c r="Z975" s="471"/>
      <c r="AA975" s="471"/>
      <c r="AB975" s="470"/>
      <c r="AC975" s="470"/>
      <c r="AD975" s="470"/>
      <c r="AE975" s="470"/>
      <c r="AF975" s="470"/>
      <c r="AG975" s="470"/>
      <c r="AH975" s="470"/>
      <c r="AI975" s="470"/>
      <c r="AJ975" s="470"/>
      <c r="AK975" s="470"/>
      <c r="AL975" s="470"/>
      <c r="AM975" s="470"/>
      <c r="AN975" s="470"/>
    </row>
    <row r="976" spans="1:40" s="470" customFormat="1" ht="15.75" customHeight="1" x14ac:dyDescent="0.15">
      <c r="B976" s="95"/>
      <c r="C976" s="140" t="s">
        <v>817</v>
      </c>
      <c r="D976" s="95"/>
      <c r="E976" s="141"/>
      <c r="F976" s="96" t="s">
        <v>750</v>
      </c>
      <c r="G976" s="505">
        <f>(0.066)*1.2</f>
        <v>7.9200000000000007E-2</v>
      </c>
      <c r="H976" s="463" t="str">
        <f t="shared" si="1163"/>
        <v>도장공인</v>
      </c>
      <c r="I976" s="451" t="str">
        <f t="shared" si="1173"/>
        <v>도장공인</v>
      </c>
      <c r="J976" s="506" t="str">
        <f>IF(OR($F976="인",$F976=""),"",VLOOKUP($H976,단가!$A:$S,19,FALSE))</f>
        <v/>
      </c>
      <c r="K976" s="507" t="str">
        <f t="shared" si="1174"/>
        <v/>
      </c>
      <c r="L976" s="506">
        <f>IF($F976="인",VLOOKUP($C:$C,노임!$C:$G,4,FALSE),"")</f>
        <v>148659</v>
      </c>
      <c r="M976" s="507">
        <f t="shared" si="1175"/>
        <v>11773</v>
      </c>
      <c r="N976" s="507"/>
      <c r="O976" s="507" t="str">
        <f t="shared" si="1176"/>
        <v/>
      </c>
      <c r="P976" s="508"/>
      <c r="Q976" s="509" t="str">
        <f>IF(F976="인","노임"&amp;VLOOKUP($C:$C,노임!C:G,5,FALSE)&amp;"번","단가"&amp;VLOOKUP($H:$H,단가!$A:$B,2,FALSE)&amp;"번")</f>
        <v>노임1029번</v>
      </c>
      <c r="R976" s="510"/>
      <c r="S976" s="131"/>
      <c r="T976" s="470" t="str">
        <f t="shared" si="1144"/>
        <v>노임1029번</v>
      </c>
      <c r="V976" s="549"/>
      <c r="W976" s="471">
        <f t="shared" ref="W976:X976" si="1181">W975</f>
        <v>38</v>
      </c>
      <c r="X976" s="471" t="e">
        <f t="shared" si="1181"/>
        <v>#REF!</v>
      </c>
      <c r="Y976" s="471" t="e">
        <f t="shared" si="1133"/>
        <v>#REF!</v>
      </c>
      <c r="Z976" s="471"/>
      <c r="AA976" s="471"/>
    </row>
    <row r="977" spans="1:40" s="470" customFormat="1" ht="15.75" customHeight="1" x14ac:dyDescent="0.15">
      <c r="B977" s="95"/>
      <c r="C977" s="140" t="s">
        <v>767</v>
      </c>
      <c r="D977" s="95"/>
      <c r="E977" s="141"/>
      <c r="F977" s="96" t="s">
        <v>750</v>
      </c>
      <c r="G977" s="505">
        <f>(0.018)*1.2</f>
        <v>2.1599999999999998E-2</v>
      </c>
      <c r="H977" s="463" t="str">
        <f t="shared" si="1163"/>
        <v>보통인부인</v>
      </c>
      <c r="I977" s="451" t="str">
        <f t="shared" si="1173"/>
        <v>보통인부인</v>
      </c>
      <c r="J977" s="506" t="str">
        <f>IF(OR($F977="인",$F977=""),"",VLOOKUP($H977,단가!$A:$S,19,FALSE))</f>
        <v/>
      </c>
      <c r="K977" s="507" t="str">
        <f t="shared" si="1174"/>
        <v/>
      </c>
      <c r="L977" s="506">
        <f>IF($F977="인",VLOOKUP($C:$C,노임!$C:$G,4,FALSE),"")</f>
        <v>106846</v>
      </c>
      <c r="M977" s="507">
        <f t="shared" si="1175"/>
        <v>2307</v>
      </c>
      <c r="N977" s="507"/>
      <c r="O977" s="507" t="str">
        <f t="shared" si="1176"/>
        <v/>
      </c>
      <c r="P977" s="508"/>
      <c r="Q977" s="509" t="str">
        <f>IF(F977="인","노임"&amp;VLOOKUP($C:$C,노임!C:G,5,FALSE)&amp;"번","단가"&amp;VLOOKUP($H:$H,단가!$A:$B,2,FALSE)&amp;"번")</f>
        <v>노임1002번</v>
      </c>
      <c r="R977" s="510"/>
      <c r="S977" s="131"/>
      <c r="T977" s="470" t="str">
        <f t="shared" si="1144"/>
        <v>노임1002번</v>
      </c>
      <c r="V977" s="549"/>
      <c r="W977" s="471">
        <f t="shared" ref="W977:X977" si="1182">W976</f>
        <v>38</v>
      </c>
      <c r="X977" s="471" t="e">
        <f t="shared" si="1182"/>
        <v>#REF!</v>
      </c>
      <c r="Y977" s="471" t="e">
        <f t="shared" si="1133"/>
        <v>#REF!</v>
      </c>
      <c r="Z977" s="471"/>
      <c r="AA977" s="471"/>
      <c r="AD977" s="457"/>
      <c r="AE977" s="457"/>
    </row>
    <row r="978" spans="1:40" s="470" customFormat="1" ht="15.75" customHeight="1" x14ac:dyDescent="0.15">
      <c r="B978" s="95"/>
      <c r="C978" s="140" t="s">
        <v>373</v>
      </c>
      <c r="D978" s="95"/>
      <c r="E978" s="141" t="s">
        <v>519</v>
      </c>
      <c r="F978" s="94" t="s">
        <v>777</v>
      </c>
      <c r="G978" s="505">
        <v>1</v>
      </c>
      <c r="H978" s="463" t="str">
        <f t="shared" si="1163"/>
        <v>공구손료인력품의2%식</v>
      </c>
      <c r="I978" s="451" t="str">
        <f t="shared" si="1173"/>
        <v>공구손료인력품의2%식</v>
      </c>
      <c r="J978" s="506">
        <f>TRUNC((M976+M977)*2%,0)</f>
        <v>281</v>
      </c>
      <c r="K978" s="507">
        <f t="shared" si="1174"/>
        <v>281</v>
      </c>
      <c r="L978" s="506"/>
      <c r="M978" s="507"/>
      <c r="N978" s="507"/>
      <c r="O978" s="507"/>
      <c r="P978" s="508"/>
      <c r="Q978" s="512"/>
      <c r="R978" s="534"/>
      <c r="S978" s="131"/>
      <c r="T978" s="470" t="str">
        <f t="shared" si="1144"/>
        <v/>
      </c>
      <c r="V978" s="549"/>
      <c r="W978" s="471">
        <f t="shared" ref="W978:X978" si="1183">W977</f>
        <v>38</v>
      </c>
      <c r="X978" s="471" t="e">
        <f t="shared" si="1183"/>
        <v>#REF!</v>
      </c>
      <c r="Y978" s="471" t="e">
        <f t="shared" si="1133"/>
        <v>#REF!</v>
      </c>
      <c r="Z978" s="471"/>
      <c r="AA978" s="471"/>
    </row>
    <row r="979" spans="1:40" s="470" customFormat="1" ht="15.75" customHeight="1" x14ac:dyDescent="0.15">
      <c r="B979" s="95"/>
      <c r="C979" s="140"/>
      <c r="D979" s="95"/>
      <c r="E979" s="141"/>
      <c r="F979" s="94"/>
      <c r="G979" s="505"/>
      <c r="H979" s="463" t="str">
        <f t="shared" si="1163"/>
        <v/>
      </c>
      <c r="I979" s="451"/>
      <c r="J979" s="506"/>
      <c r="K979" s="507"/>
      <c r="L979" s="506"/>
      <c r="M979" s="507"/>
      <c r="N979" s="507"/>
      <c r="O979" s="507"/>
      <c r="P979" s="508"/>
      <c r="Q979" s="512"/>
      <c r="R979" s="534"/>
      <c r="S979" s="131"/>
      <c r="T979" s="470" t="str">
        <f t="shared" si="1144"/>
        <v/>
      </c>
      <c r="V979" s="549"/>
      <c r="W979" s="471">
        <f t="shared" ref="W979:X979" si="1184">W978</f>
        <v>38</v>
      </c>
      <c r="X979" s="471" t="e">
        <f t="shared" si="1184"/>
        <v>#REF!</v>
      </c>
      <c r="Y979" s="471" t="e">
        <f t="shared" si="1133"/>
        <v>#REF!</v>
      </c>
      <c r="Z979" s="471"/>
      <c r="AA979" s="471"/>
    </row>
    <row r="980" spans="1:40" s="470" customFormat="1" ht="15.75" customHeight="1" x14ac:dyDescent="0.15">
      <c r="B980" s="95"/>
      <c r="C980" s="140"/>
      <c r="D980" s="95"/>
      <c r="E980" s="141"/>
      <c r="F980" s="94"/>
      <c r="G980" s="505"/>
      <c r="H980" s="463" t="str">
        <f t="shared" si="1163"/>
        <v/>
      </c>
      <c r="I980" s="451"/>
      <c r="J980" s="506"/>
      <c r="K980" s="507"/>
      <c r="L980" s="506"/>
      <c r="M980" s="507"/>
      <c r="N980" s="507"/>
      <c r="O980" s="507"/>
      <c r="P980" s="508"/>
      <c r="Q980" s="512"/>
      <c r="R980" s="534"/>
      <c r="S980" s="131"/>
      <c r="T980" s="470" t="str">
        <f t="shared" si="1144"/>
        <v/>
      </c>
      <c r="V980" s="549"/>
      <c r="W980" s="471">
        <f t="shared" ref="W980:X980" si="1185">W979</f>
        <v>38</v>
      </c>
      <c r="X980" s="471" t="e">
        <f t="shared" si="1185"/>
        <v>#REF!</v>
      </c>
      <c r="Y980" s="471" t="e">
        <f t="shared" si="1133"/>
        <v>#REF!</v>
      </c>
      <c r="Z980" s="471"/>
      <c r="AA980" s="471"/>
    </row>
    <row r="981" spans="1:40" s="470" customFormat="1" ht="15.75" customHeight="1" x14ac:dyDescent="0.15">
      <c r="B981" s="95"/>
      <c r="C981" s="140"/>
      <c r="D981" s="95"/>
      <c r="E981" s="141"/>
      <c r="F981" s="94"/>
      <c r="G981" s="505"/>
      <c r="H981" s="463" t="str">
        <f t="shared" si="1163"/>
        <v/>
      </c>
      <c r="I981" s="451"/>
      <c r="J981" s="506"/>
      <c r="K981" s="507"/>
      <c r="L981" s="506"/>
      <c r="M981" s="507"/>
      <c r="N981" s="507"/>
      <c r="O981" s="507"/>
      <c r="P981" s="508"/>
      <c r="Q981" s="512"/>
      <c r="R981" s="534"/>
      <c r="S981" s="131"/>
      <c r="T981" s="470" t="str">
        <f t="shared" si="1144"/>
        <v/>
      </c>
      <c r="V981" s="549"/>
      <c r="W981" s="471">
        <f t="shared" ref="W981:X981" si="1186">W980</f>
        <v>38</v>
      </c>
      <c r="X981" s="471" t="e">
        <f t="shared" si="1186"/>
        <v>#REF!</v>
      </c>
      <c r="Y981" s="471" t="e">
        <f t="shared" si="1133"/>
        <v>#REF!</v>
      </c>
      <c r="Z981" s="471"/>
      <c r="AA981" s="471"/>
    </row>
    <row r="982" spans="1:40" s="470" customFormat="1" ht="15.75" customHeight="1" x14ac:dyDescent="0.15">
      <c r="B982" s="95"/>
      <c r="C982" s="140"/>
      <c r="D982" s="95"/>
      <c r="E982" s="141"/>
      <c r="F982" s="94"/>
      <c r="G982" s="505"/>
      <c r="H982" s="463" t="str">
        <f t="shared" si="1163"/>
        <v/>
      </c>
      <c r="I982" s="451"/>
      <c r="J982" s="506"/>
      <c r="K982" s="507"/>
      <c r="L982" s="506"/>
      <c r="M982" s="507"/>
      <c r="N982" s="507"/>
      <c r="O982" s="507"/>
      <c r="P982" s="508"/>
      <c r="Q982" s="512"/>
      <c r="R982" s="534"/>
      <c r="S982" s="131"/>
      <c r="T982" s="470" t="str">
        <f t="shared" si="1144"/>
        <v/>
      </c>
      <c r="V982" s="549"/>
      <c r="W982" s="471">
        <f t="shared" ref="W982:X982" si="1187">W981</f>
        <v>38</v>
      </c>
      <c r="X982" s="471" t="e">
        <f t="shared" si="1187"/>
        <v>#REF!</v>
      </c>
      <c r="Y982" s="471" t="e">
        <f t="shared" si="1133"/>
        <v>#REF!</v>
      </c>
      <c r="Z982" s="471"/>
      <c r="AA982" s="471"/>
      <c r="AB982" s="457"/>
    </row>
    <row r="983" spans="1:40" s="470" customFormat="1" ht="15.75" customHeight="1" x14ac:dyDescent="0.15">
      <c r="B983" s="95"/>
      <c r="C983" s="140"/>
      <c r="D983" s="95"/>
      <c r="E983" s="141"/>
      <c r="F983" s="94"/>
      <c r="G983" s="505"/>
      <c r="H983" s="463" t="str">
        <f t="shared" si="1163"/>
        <v/>
      </c>
      <c r="I983" s="451"/>
      <c r="J983" s="506"/>
      <c r="K983" s="507"/>
      <c r="L983" s="506"/>
      <c r="M983" s="507"/>
      <c r="N983" s="507"/>
      <c r="O983" s="507"/>
      <c r="P983" s="508"/>
      <c r="Q983" s="512"/>
      <c r="R983" s="534"/>
      <c r="S983" s="131"/>
      <c r="T983" s="470" t="str">
        <f t="shared" si="1144"/>
        <v/>
      </c>
      <c r="V983" s="549"/>
      <c r="W983" s="471">
        <f t="shared" ref="W983:X983" si="1188">W982</f>
        <v>38</v>
      </c>
      <c r="X983" s="471" t="e">
        <f t="shared" si="1188"/>
        <v>#REF!</v>
      </c>
      <c r="Y983" s="471" t="e">
        <f t="shared" si="1133"/>
        <v>#REF!</v>
      </c>
      <c r="Z983" s="471"/>
      <c r="AA983" s="471"/>
    </row>
    <row r="984" spans="1:40" s="470" customFormat="1" ht="15.75" customHeight="1" x14ac:dyDescent="0.15">
      <c r="B984" s="95"/>
      <c r="C984" s="140"/>
      <c r="D984" s="95"/>
      <c r="E984" s="141"/>
      <c r="F984" s="94"/>
      <c r="G984" s="505"/>
      <c r="H984" s="463" t="str">
        <f t="shared" si="1163"/>
        <v/>
      </c>
      <c r="I984" s="451"/>
      <c r="J984" s="506"/>
      <c r="K984" s="507"/>
      <c r="L984" s="506"/>
      <c r="M984" s="507"/>
      <c r="N984" s="507"/>
      <c r="O984" s="507"/>
      <c r="P984" s="508"/>
      <c r="Q984" s="512"/>
      <c r="R984" s="534"/>
      <c r="S984" s="131"/>
      <c r="T984" s="470" t="str">
        <f t="shared" si="1144"/>
        <v/>
      </c>
      <c r="V984" s="549"/>
      <c r="W984" s="471">
        <f t="shared" ref="W984:X984" si="1189">W983</f>
        <v>38</v>
      </c>
      <c r="X984" s="471" t="e">
        <f t="shared" si="1189"/>
        <v>#REF!</v>
      </c>
      <c r="Y984" s="471" t="e">
        <f t="shared" si="1133"/>
        <v>#REF!</v>
      </c>
      <c r="Z984" s="471"/>
      <c r="AA984" s="471"/>
    </row>
    <row r="985" spans="1:40" s="470" customFormat="1" ht="15.75" customHeight="1" x14ac:dyDescent="0.15">
      <c r="B985" s="95"/>
      <c r="C985" s="140"/>
      <c r="D985" s="95"/>
      <c r="E985" s="141"/>
      <c r="F985" s="94"/>
      <c r="G985" s="505"/>
      <c r="H985" s="463" t="str">
        <f t="shared" si="1163"/>
        <v/>
      </c>
      <c r="I985" s="451"/>
      <c r="J985" s="506"/>
      <c r="K985" s="507"/>
      <c r="L985" s="506"/>
      <c r="M985" s="507"/>
      <c r="N985" s="507"/>
      <c r="O985" s="507"/>
      <c r="P985" s="508"/>
      <c r="Q985" s="512"/>
      <c r="R985" s="513"/>
      <c r="S985" s="131"/>
      <c r="T985" s="470" t="str">
        <f t="shared" si="1144"/>
        <v/>
      </c>
      <c r="V985" s="549"/>
      <c r="W985" s="471">
        <f t="shared" ref="W985:X985" si="1190">W984</f>
        <v>38</v>
      </c>
      <c r="X985" s="471" t="e">
        <f t="shared" si="1190"/>
        <v>#REF!</v>
      </c>
      <c r="Y985" s="471" t="e">
        <f t="shared" si="1133"/>
        <v>#REF!</v>
      </c>
      <c r="Z985" s="471"/>
      <c r="AA985" s="471"/>
      <c r="AB985" s="457"/>
    </row>
    <row r="986" spans="1:40" s="470" customFormat="1" ht="15.75" customHeight="1" x14ac:dyDescent="0.15">
      <c r="B986" s="514" t="s">
        <v>751</v>
      </c>
      <c r="C986" s="515"/>
      <c r="D986" s="516"/>
      <c r="E986" s="517"/>
      <c r="F986" s="518"/>
      <c r="G986" s="519"/>
      <c r="H986" s="463" t="str">
        <f t="shared" si="1163"/>
        <v/>
      </c>
      <c r="I986" s="520">
        <f>목록!$B$44</f>
        <v>38</v>
      </c>
      <c r="J986" s="521"/>
      <c r="K986" s="522">
        <f>SUM(K972:K985)</f>
        <v>2177</v>
      </c>
      <c r="L986" s="521"/>
      <c r="M986" s="522">
        <f>SUM(M972:M985)</f>
        <v>14080</v>
      </c>
      <c r="N986" s="521"/>
      <c r="O986" s="522">
        <f>SUM(O972:O985)</f>
        <v>0</v>
      </c>
      <c r="P986" s="523"/>
      <c r="Q986" s="512"/>
      <c r="R986" s="513"/>
      <c r="S986" s="524"/>
      <c r="T986" s="470" t="str">
        <f t="shared" si="1144"/>
        <v/>
      </c>
      <c r="V986" s="549"/>
      <c r="W986" s="471">
        <f t="shared" ref="W986:X986" si="1191">W985</f>
        <v>38</v>
      </c>
      <c r="X986" s="471" t="e">
        <f t="shared" si="1191"/>
        <v>#REF!</v>
      </c>
      <c r="Y986" s="471" t="e">
        <f t="shared" si="1133"/>
        <v>#REF!</v>
      </c>
      <c r="Z986" s="471"/>
      <c r="AA986" s="471"/>
      <c r="AB986" s="457"/>
    </row>
    <row r="987" spans="1:40" s="470" customFormat="1" ht="15.75" customHeight="1" x14ac:dyDescent="0.15">
      <c r="B987" s="453"/>
      <c r="C987" s="630" t="s">
        <v>1150</v>
      </c>
      <c r="D987" s="95"/>
      <c r="E987" s="141"/>
      <c r="F987" s="94"/>
      <c r="G987" s="505"/>
      <c r="H987" s="463" t="str">
        <f t="shared" si="1163"/>
        <v>※ 건축표준품셈 17-1-1 2.석고보드면(ALL PUTTY)</v>
      </c>
      <c r="I987" s="451"/>
      <c r="J987" s="506"/>
      <c r="K987" s="507"/>
      <c r="L987" s="506"/>
      <c r="M987" s="507"/>
      <c r="N987" s="507"/>
      <c r="O987" s="507"/>
      <c r="P987" s="508"/>
      <c r="Q987" s="512"/>
      <c r="R987" s="513"/>
      <c r="S987" s="131"/>
      <c r="T987" s="470" t="str">
        <f t="shared" si="1144"/>
        <v/>
      </c>
      <c r="V987" s="549"/>
      <c r="W987" s="615">
        <f t="shared" ref="W987:X987" si="1192">W986</f>
        <v>38</v>
      </c>
      <c r="X987" s="471" t="e">
        <f t="shared" si="1192"/>
        <v>#REF!</v>
      </c>
      <c r="Y987" s="471" t="e">
        <f t="shared" si="1133"/>
        <v>#REF!</v>
      </c>
      <c r="Z987" s="471"/>
      <c r="AA987" s="471"/>
      <c r="AB987" s="457"/>
    </row>
    <row r="988" spans="1:40" s="470" customFormat="1" ht="15.75" customHeight="1" x14ac:dyDescent="0.15">
      <c r="A988" s="457"/>
      <c r="B988" s="453"/>
      <c r="C988" s="209" t="s">
        <v>951</v>
      </c>
      <c r="D988" s="95"/>
      <c r="E988" s="141"/>
      <c r="F988" s="94"/>
      <c r="G988" s="505"/>
      <c r="H988" s="463" t="str">
        <f t="shared" si="1163"/>
        <v>※ 천장은 기존(벽체) 품의 20%를 가산함</v>
      </c>
      <c r="I988" s="451"/>
      <c r="J988" s="506"/>
      <c r="K988" s="507"/>
      <c r="L988" s="506"/>
      <c r="M988" s="507"/>
      <c r="N988" s="507"/>
      <c r="O988" s="507"/>
      <c r="P988" s="508"/>
      <c r="Q988" s="512"/>
      <c r="R988" s="513"/>
      <c r="S988" s="131"/>
      <c r="T988" s="470" t="str">
        <f t="shared" si="1144"/>
        <v/>
      </c>
      <c r="V988" s="551"/>
      <c r="W988" s="471">
        <f t="shared" ref="W988:X988" si="1193">W987</f>
        <v>38</v>
      </c>
      <c r="X988" s="471" t="e">
        <f t="shared" si="1193"/>
        <v>#REF!</v>
      </c>
      <c r="Y988" s="471" t="e">
        <f t="shared" si="1133"/>
        <v>#REF!</v>
      </c>
      <c r="Z988" s="471"/>
      <c r="AA988" s="471"/>
      <c r="AB988" s="457"/>
    </row>
    <row r="989" spans="1:40" s="470" customFormat="1" ht="15.75" customHeight="1" x14ac:dyDescent="0.15">
      <c r="B989" s="514"/>
      <c r="C989" s="515"/>
      <c r="D989" s="516"/>
      <c r="E989" s="517"/>
      <c r="F989" s="518"/>
      <c r="G989" s="519"/>
      <c r="H989" s="463" t="str">
        <f t="shared" si="1163"/>
        <v/>
      </c>
      <c r="I989" s="520"/>
      <c r="J989" s="521"/>
      <c r="K989" s="522"/>
      <c r="L989" s="521"/>
      <c r="M989" s="522"/>
      <c r="N989" s="521"/>
      <c r="O989" s="522"/>
      <c r="P989" s="523"/>
      <c r="Q989" s="512"/>
      <c r="R989" s="513"/>
      <c r="S989" s="524"/>
      <c r="T989" s="470" t="str">
        <f t="shared" si="1144"/>
        <v/>
      </c>
      <c r="U989" s="457"/>
      <c r="W989" s="471">
        <f t="shared" ref="W989:X989" si="1194">W988</f>
        <v>38</v>
      </c>
      <c r="X989" s="471" t="e">
        <f t="shared" si="1194"/>
        <v>#REF!</v>
      </c>
      <c r="Y989" s="471" t="e">
        <f t="shared" si="1133"/>
        <v>#REF!</v>
      </c>
      <c r="Z989" s="471"/>
      <c r="AA989" s="471"/>
      <c r="AB989" s="457"/>
      <c r="AC989" s="457"/>
      <c r="AD989" s="457"/>
      <c r="AE989" s="457"/>
      <c r="AF989" s="457"/>
      <c r="AG989" s="457"/>
      <c r="AH989" s="457"/>
      <c r="AI989" s="457"/>
      <c r="AJ989" s="457"/>
      <c r="AK989" s="457"/>
      <c r="AL989" s="457"/>
      <c r="AM989" s="457"/>
      <c r="AN989" s="457"/>
    </row>
    <row r="990" spans="1:40" s="457" customFormat="1" ht="15.75" customHeight="1" x14ac:dyDescent="0.15">
      <c r="A990" s="470"/>
      <c r="C990" s="458"/>
      <c r="D990" s="459"/>
      <c r="E990" s="460"/>
      <c r="F990" s="461"/>
      <c r="G990" s="462"/>
      <c r="H990" s="463" t="str">
        <f t="shared" si="1129"/>
        <v/>
      </c>
      <c r="I990" s="464"/>
      <c r="J990" s="465"/>
      <c r="K990" s="465"/>
      <c r="L990" s="465"/>
      <c r="M990" s="465"/>
      <c r="N990" s="465"/>
      <c r="O990" s="466"/>
      <c r="P990" s="467"/>
      <c r="Q990" s="468"/>
      <c r="R990" s="469"/>
      <c r="S990" s="467"/>
      <c r="T990" s="470" t="str">
        <f t="shared" si="1144"/>
        <v/>
      </c>
      <c r="U990" s="470"/>
      <c r="V990" s="470"/>
      <c r="W990" s="533">
        <f t="shared" ref="W990" si="1195">I1012</f>
        <v>39</v>
      </c>
      <c r="X990" s="533" t="e">
        <f t="shared" ref="X990" si="1196">X989+1</f>
        <v>#REF!</v>
      </c>
      <c r="Y990" s="533" t="e">
        <f t="shared" si="1133"/>
        <v>#REF!</v>
      </c>
      <c r="Z990" s="533"/>
      <c r="AA990" s="533"/>
      <c r="AC990" s="470"/>
      <c r="AD990" s="470"/>
      <c r="AE990" s="470"/>
      <c r="AF990" s="470"/>
      <c r="AG990" s="470"/>
      <c r="AH990" s="470"/>
      <c r="AI990" s="470"/>
      <c r="AJ990" s="470"/>
      <c r="AK990" s="470"/>
      <c r="AL990" s="470"/>
      <c r="AM990" s="470"/>
      <c r="AN990" s="470"/>
    </row>
    <row r="991" spans="1:40" s="470" customFormat="1" ht="15.75" customHeight="1" x14ac:dyDescent="0.15">
      <c r="A991" s="457"/>
      <c r="B991" s="473"/>
      <c r="C991" s="474" t="str">
        <f>"   항목번호 : "&amp;목록!L$45</f>
        <v xml:space="preserve">   항목번호 : 제39호표</v>
      </c>
      <c r="D991" s="475">
        <f>목록!B$45</f>
        <v>39</v>
      </c>
      <c r="E991" s="476"/>
      <c r="F991" s="477"/>
      <c r="G991" s="478"/>
      <c r="H991" s="463" t="str">
        <f t="shared" si="1129"/>
        <v xml:space="preserve">   항목번호 : 제39호표</v>
      </c>
      <c r="I991" s="479"/>
      <c r="J991" s="480"/>
      <c r="K991" s="481"/>
      <c r="L991" s="482"/>
      <c r="M991" s="482"/>
      <c r="N991" s="482"/>
      <c r="O991" s="466"/>
      <c r="P991" s="483"/>
      <c r="Q991" s="484"/>
      <c r="R991" s="485"/>
      <c r="S991" s="483"/>
      <c r="T991" s="470" t="str">
        <f t="shared" si="1144"/>
        <v/>
      </c>
      <c r="V991" s="551"/>
      <c r="W991" s="471">
        <f t="shared" ref="W991:X991" si="1197">W990</f>
        <v>39</v>
      </c>
      <c r="X991" s="471" t="e">
        <f t="shared" si="1197"/>
        <v>#REF!</v>
      </c>
      <c r="Y991" s="471" t="e">
        <f t="shared" si="1133"/>
        <v>#REF!</v>
      </c>
      <c r="Z991" s="471"/>
      <c r="AA991" s="471"/>
      <c r="AB991" s="457"/>
    </row>
    <row r="992" spans="1:40" s="470" customFormat="1" ht="15.75" customHeight="1" x14ac:dyDescent="0.15">
      <c r="A992" s="457"/>
      <c r="B992" s="473"/>
      <c r="C992" s="474" t="str">
        <f>"   공      종 : "&amp;목록!D$45</f>
        <v xml:space="preserve">   공      종 : LINE PUTTY</v>
      </c>
      <c r="D992" s="484"/>
      <c r="E992" s="476"/>
      <c r="F992" s="473"/>
      <c r="G992" s="478"/>
      <c r="H992" s="463" t="str">
        <f t="shared" si="1129"/>
        <v xml:space="preserve">   공      종 : LINE PUTTY</v>
      </c>
      <c r="I992" s="479"/>
      <c r="J992" s="480"/>
      <c r="K992" s="481"/>
      <c r="L992" s="482"/>
      <c r="M992" s="482"/>
      <c r="N992" s="482"/>
      <c r="O992" s="466"/>
      <c r="P992" s="483"/>
      <c r="Q992" s="484"/>
      <c r="R992" s="485"/>
      <c r="S992" s="483"/>
      <c r="T992" s="470" t="str">
        <f t="shared" si="1144"/>
        <v/>
      </c>
      <c r="U992" s="457"/>
      <c r="W992" s="471">
        <f t="shared" ref="W992:X992" si="1198">W991</f>
        <v>39</v>
      </c>
      <c r="X992" s="471" t="e">
        <f t="shared" si="1198"/>
        <v>#REF!</v>
      </c>
      <c r="Y992" s="471" t="e">
        <f t="shared" si="1133"/>
        <v>#REF!</v>
      </c>
      <c r="Z992" s="471"/>
      <c r="AA992" s="471"/>
      <c r="AB992" s="457"/>
      <c r="AC992" s="457"/>
      <c r="AD992" s="457"/>
      <c r="AE992" s="457"/>
      <c r="AF992" s="457"/>
      <c r="AG992" s="457"/>
      <c r="AH992" s="457"/>
      <c r="AI992" s="457"/>
      <c r="AJ992" s="457"/>
      <c r="AK992" s="457"/>
      <c r="AL992" s="457"/>
      <c r="AM992" s="457"/>
      <c r="AN992" s="457"/>
    </row>
    <row r="993" spans="1:40" s="457" customFormat="1" ht="15.75" customHeight="1" x14ac:dyDescent="0.15">
      <c r="B993" s="473"/>
      <c r="C993" s="474" t="str">
        <f xml:space="preserve"> "   규      격 : "&amp;목록!F$45</f>
        <v xml:space="preserve">   규      격 : 철재면</v>
      </c>
      <c r="D993" s="484"/>
      <c r="E993" s="476"/>
      <c r="F993" s="473"/>
      <c r="G993" s="478"/>
      <c r="H993" s="463" t="str">
        <f t="shared" si="1129"/>
        <v xml:space="preserve">   규      격 : 철재면</v>
      </c>
      <c r="I993" s="479"/>
      <c r="J993" s="480" t="s">
        <v>348</v>
      </c>
      <c r="K993" s="481"/>
      <c r="L993" s="482" t="s">
        <v>349</v>
      </c>
      <c r="M993" s="482"/>
      <c r="N993" s="482" t="s">
        <v>240</v>
      </c>
      <c r="O993" s="466"/>
      <c r="P993" s="483"/>
      <c r="Q993" s="484" t="s">
        <v>752</v>
      </c>
      <c r="R993" s="484"/>
      <c r="S993" s="483"/>
      <c r="T993" s="470" t="str">
        <f t="shared" si="1144"/>
        <v>합계</v>
      </c>
      <c r="V993" s="547"/>
      <c r="W993" s="471">
        <f t="shared" ref="W993:X993" si="1199">W992</f>
        <v>39</v>
      </c>
      <c r="X993" s="471" t="e">
        <f t="shared" si="1199"/>
        <v>#REF!</v>
      </c>
      <c r="Y993" s="471" t="e">
        <f t="shared" si="1133"/>
        <v>#REF!</v>
      </c>
      <c r="Z993" s="471"/>
      <c r="AA993" s="471"/>
    </row>
    <row r="994" spans="1:40" s="457" customFormat="1" ht="15.75" customHeight="1" x14ac:dyDescent="0.15">
      <c r="B994" s="473"/>
      <c r="C994" s="474" t="str">
        <f>"   단      위 : "&amp;목록!G$45</f>
        <v xml:space="preserve">   단      위 : ㎡</v>
      </c>
      <c r="D994" s="484"/>
      <c r="E994" s="476"/>
      <c r="F994" s="473"/>
      <c r="G994" s="478"/>
      <c r="H994" s="463" t="str">
        <f t="shared" si="1129"/>
        <v xml:space="preserve">   단      위 : ㎡</v>
      </c>
      <c r="I994" s="479"/>
      <c r="J994" s="486">
        <f>K1012</f>
        <v>12385</v>
      </c>
      <c r="K994" s="481"/>
      <c r="L994" s="487">
        <f>M1012</f>
        <v>12338</v>
      </c>
      <c r="M994" s="482"/>
      <c r="N994" s="482">
        <f>O1012</f>
        <v>0</v>
      </c>
      <c r="O994" s="466"/>
      <c r="P994" s="483"/>
      <c r="Q994" s="488">
        <f>J994+L994+N994</f>
        <v>24723</v>
      </c>
      <c r="R994" s="489"/>
      <c r="S994" s="483"/>
      <c r="T994" s="470" t="str">
        <f t="shared" si="1144"/>
        <v>24723</v>
      </c>
      <c r="V994" s="547"/>
      <c r="W994" s="471">
        <f t="shared" ref="W994:X994" si="1200">W993</f>
        <v>39</v>
      </c>
      <c r="X994" s="471" t="e">
        <f t="shared" si="1200"/>
        <v>#REF!</v>
      </c>
      <c r="Y994" s="471" t="e">
        <f t="shared" si="1133"/>
        <v>#REF!</v>
      </c>
      <c r="Z994" s="471"/>
      <c r="AA994" s="471"/>
      <c r="AB994" s="470"/>
    </row>
    <row r="995" spans="1:40" s="457" customFormat="1" ht="15.75" customHeight="1" x14ac:dyDescent="0.15">
      <c r="B995" s="473"/>
      <c r="C995" s="474"/>
      <c r="D995" s="484"/>
      <c r="E995" s="476"/>
      <c r="F995" s="473"/>
      <c r="G995" s="490"/>
      <c r="H995" s="463" t="str">
        <f t="shared" si="1129"/>
        <v/>
      </c>
      <c r="I995" s="491"/>
      <c r="J995" s="482"/>
      <c r="K995" s="465"/>
      <c r="L995" s="482"/>
      <c r="M995" s="482"/>
      <c r="N995" s="482"/>
      <c r="O995" s="466"/>
      <c r="P995" s="492"/>
      <c r="Q995" s="493"/>
      <c r="R995" s="485"/>
      <c r="S995" s="492"/>
      <c r="T995" s="470" t="str">
        <f t="shared" si="1144"/>
        <v/>
      </c>
      <c r="V995" s="547"/>
      <c r="W995" s="471">
        <f t="shared" ref="W995:X995" si="1201">W994</f>
        <v>39</v>
      </c>
      <c r="X995" s="471" t="e">
        <f t="shared" si="1201"/>
        <v>#REF!</v>
      </c>
      <c r="Y995" s="471" t="e">
        <f t="shared" si="1133"/>
        <v>#REF!</v>
      </c>
      <c r="Z995" s="471"/>
      <c r="AA995" s="471"/>
      <c r="AB995" s="470"/>
    </row>
    <row r="996" spans="1:40" s="457" customFormat="1" ht="15.75" customHeight="1" x14ac:dyDescent="0.15">
      <c r="B996" s="899" t="s">
        <v>375</v>
      </c>
      <c r="C996" s="900"/>
      <c r="D996" s="907" t="s">
        <v>356</v>
      </c>
      <c r="E996" s="908"/>
      <c r="F996" s="903" t="s">
        <v>790</v>
      </c>
      <c r="G996" s="913" t="s">
        <v>791</v>
      </c>
      <c r="H996" s="463" t="str">
        <f t="shared" si="1129"/>
        <v>단위</v>
      </c>
      <c r="I996" s="494"/>
      <c r="J996" s="495" t="s">
        <v>348</v>
      </c>
      <c r="K996" s="496"/>
      <c r="L996" s="495" t="s">
        <v>349</v>
      </c>
      <c r="M996" s="496"/>
      <c r="N996" s="497" t="s">
        <v>240</v>
      </c>
      <c r="O996" s="497"/>
      <c r="P996" s="498"/>
      <c r="Q996" s="744" t="s">
        <v>355</v>
      </c>
      <c r="R996" s="744"/>
      <c r="S996" s="499"/>
      <c r="T996" s="470" t="str">
        <f t="shared" si="1144"/>
        <v>비  고</v>
      </c>
      <c r="V996" s="547"/>
      <c r="W996" s="471">
        <f t="shared" ref="W996:X996" si="1202">W995</f>
        <v>39</v>
      </c>
      <c r="X996" s="471" t="e">
        <f t="shared" si="1202"/>
        <v>#REF!</v>
      </c>
      <c r="Y996" s="471" t="e">
        <f t="shared" si="1133"/>
        <v>#REF!</v>
      </c>
      <c r="Z996" s="471"/>
      <c r="AA996" s="471"/>
      <c r="AB996" s="470"/>
    </row>
    <row r="997" spans="1:40" s="457" customFormat="1" ht="15.75" customHeight="1" x14ac:dyDescent="0.15">
      <c r="B997" s="901"/>
      <c r="C997" s="902"/>
      <c r="D997" s="909"/>
      <c r="E997" s="910"/>
      <c r="F997" s="904"/>
      <c r="G997" s="914"/>
      <c r="H997" s="463" t="str">
        <f t="shared" si="1129"/>
        <v/>
      </c>
      <c r="I997" s="500"/>
      <c r="J997" s="501" t="s">
        <v>353</v>
      </c>
      <c r="K997" s="501" t="s">
        <v>354</v>
      </c>
      <c r="L997" s="501" t="s">
        <v>353</v>
      </c>
      <c r="M997" s="502" t="s">
        <v>354</v>
      </c>
      <c r="N997" s="501" t="s">
        <v>353</v>
      </c>
      <c r="O997" s="501" t="s">
        <v>354</v>
      </c>
      <c r="P997" s="503"/>
      <c r="Q997" s="745"/>
      <c r="R997" s="745"/>
      <c r="S997" s="504"/>
      <c r="T997" s="470" t="str">
        <f t="shared" si="1144"/>
        <v/>
      </c>
      <c r="V997" s="547"/>
      <c r="W997" s="471">
        <f t="shared" ref="W997:X997" si="1203">W996</f>
        <v>39</v>
      </c>
      <c r="X997" s="471" t="e">
        <f t="shared" si="1203"/>
        <v>#REF!</v>
      </c>
      <c r="Y997" s="471" t="e">
        <f t="shared" si="1133"/>
        <v>#REF!</v>
      </c>
      <c r="Z997" s="471"/>
      <c r="AA997" s="471"/>
      <c r="AB997" s="470"/>
    </row>
    <row r="998" spans="1:40" s="457" customFormat="1" ht="15.75" customHeight="1" x14ac:dyDescent="0.15">
      <c r="A998" s="547"/>
      <c r="B998" s="95"/>
      <c r="C998" s="140" t="s">
        <v>914</v>
      </c>
      <c r="D998" s="95"/>
      <c r="E998" s="141"/>
      <c r="F998" s="96" t="s">
        <v>771</v>
      </c>
      <c r="G998" s="505">
        <v>1.83</v>
      </c>
      <c r="H998" s="463" t="str">
        <f t="shared" si="1129"/>
        <v>석면테이프m</v>
      </c>
      <c r="I998" s="451" t="str">
        <f t="shared" ref="I998:I1003" si="1204">CONCATENATE(C998,E998,F998)</f>
        <v>석면테이프m</v>
      </c>
      <c r="J998" s="506">
        <f>IF(OR($F998="인",$F998=""),"",VLOOKUP($H998,단가!$A:$S,19,FALSE))</f>
        <v>367</v>
      </c>
      <c r="K998" s="507">
        <f t="shared" ref="K998:K1003" si="1205">IF(J998="","",TRUNC($G998*J998,0))</f>
        <v>671</v>
      </c>
      <c r="L998" s="506" t="str">
        <f>IF($F998="인",VLOOKUP($C:$C,노임!$C:$G,4,FALSE),"")</f>
        <v/>
      </c>
      <c r="M998" s="507" t="str">
        <f>IF(L998="","",TRUNC($G998*L998,0))</f>
        <v/>
      </c>
      <c r="N998" s="507"/>
      <c r="O998" s="507" t="str">
        <f>IF(N998="","",TRUNC($G998*N998,0))</f>
        <v/>
      </c>
      <c r="P998" s="508"/>
      <c r="Q998" s="509" t="str">
        <f>IF(F998="인","노임"&amp;VLOOKUP($C:$C,노임!C:G,5,FALSE)&amp;"번","단가"&amp;VLOOKUP($H:$H,단가!$A:$B,2,FALSE)&amp;"번")</f>
        <v>단가74번</v>
      </c>
      <c r="R998" s="510"/>
      <c r="S998" s="131"/>
      <c r="T998" s="470" t="str">
        <f t="shared" si="1144"/>
        <v>단가74번</v>
      </c>
      <c r="V998" s="548"/>
      <c r="W998" s="471">
        <f t="shared" ref="W998:X998" si="1206">W997</f>
        <v>39</v>
      </c>
      <c r="X998" s="471" t="e">
        <f t="shared" si="1206"/>
        <v>#REF!</v>
      </c>
      <c r="Y998" s="471" t="e">
        <f t="shared" si="1133"/>
        <v>#REF!</v>
      </c>
      <c r="Z998" s="471"/>
      <c r="AA998" s="471"/>
      <c r="AB998" s="470"/>
    </row>
    <row r="999" spans="1:40" s="457" customFormat="1" ht="15.75" customHeight="1" x14ac:dyDescent="0.15">
      <c r="A999" s="547"/>
      <c r="B999" s="95"/>
      <c r="C999" s="140" t="s">
        <v>917</v>
      </c>
      <c r="D999" s="95"/>
      <c r="E999" s="141" t="s">
        <v>918</v>
      </c>
      <c r="F999" s="96" t="s">
        <v>861</v>
      </c>
      <c r="G999" s="505">
        <v>1.6659999999999999</v>
      </c>
      <c r="H999" s="463" t="str">
        <f t="shared" si="1129"/>
        <v>퍼티뽀리퍼티Kg</v>
      </c>
      <c r="I999" s="451" t="str">
        <f t="shared" si="1204"/>
        <v>퍼티뽀리퍼티Kg</v>
      </c>
      <c r="J999" s="506">
        <f>IF(OR($F999="인",$F999=""),"",VLOOKUP($H999,단가!$A:$S,19,FALSE))</f>
        <v>6750</v>
      </c>
      <c r="K999" s="507">
        <f t="shared" si="1205"/>
        <v>11245</v>
      </c>
      <c r="L999" s="506" t="str">
        <f>IF($F999="인",VLOOKUP($C:$C,노임!$C:$G,4,FALSE),"")</f>
        <v/>
      </c>
      <c r="M999" s="507" t="str">
        <f>IF(L999="","",TRUNC($G999*L999,0))</f>
        <v/>
      </c>
      <c r="N999" s="507"/>
      <c r="O999" s="507" t="str">
        <f>IF(N999="","",TRUNC($G999*N999,0))</f>
        <v/>
      </c>
      <c r="P999" s="508"/>
      <c r="Q999" s="509" t="str">
        <f>IF(F999="인","노임"&amp;VLOOKUP($C:$C,노임!C:G,5,FALSE)&amp;"번","단가"&amp;VLOOKUP($H:$H,단가!$A:$B,2,FALSE)&amp;"번")</f>
        <v>단가37번</v>
      </c>
      <c r="R999" s="510"/>
      <c r="S999" s="131"/>
      <c r="T999" s="470" t="str">
        <f t="shared" si="1144"/>
        <v>단가37번</v>
      </c>
      <c r="V999" s="548"/>
      <c r="W999" s="471">
        <f t="shared" ref="W999:X999" si="1207">W998</f>
        <v>39</v>
      </c>
      <c r="X999" s="471" t="e">
        <f t="shared" si="1207"/>
        <v>#REF!</v>
      </c>
      <c r="Y999" s="471" t="e">
        <f t="shared" si="1133"/>
        <v>#REF!</v>
      </c>
      <c r="Z999" s="471"/>
      <c r="AA999" s="471"/>
      <c r="AB999" s="470"/>
    </row>
    <row r="1000" spans="1:40" s="457" customFormat="1" ht="15.75" customHeight="1" x14ac:dyDescent="0.15">
      <c r="A1000" s="470"/>
      <c r="B1000" s="95"/>
      <c r="C1000" s="143" t="s">
        <v>919</v>
      </c>
      <c r="D1000" s="142"/>
      <c r="E1000" s="97" t="s">
        <v>920</v>
      </c>
      <c r="F1000" s="564" t="s">
        <v>778</v>
      </c>
      <c r="G1000" s="505">
        <v>0.02</v>
      </c>
      <c r="H1000" s="463" t="str">
        <f t="shared" si="1129"/>
        <v>위시프라이머ZQL011ℓ</v>
      </c>
      <c r="I1000" s="451" t="str">
        <f t="shared" si="1204"/>
        <v>위시프라이머ZQL011ℓ</v>
      </c>
      <c r="J1000" s="506">
        <f>IF(OR($F1000="인",$F1000=""),"",VLOOKUP($H1000,단가!$A:$S,19,FALSE))</f>
        <v>6155</v>
      </c>
      <c r="K1000" s="507">
        <f t="shared" si="1205"/>
        <v>123</v>
      </c>
      <c r="L1000" s="506" t="str">
        <f>IF($F1000="인",VLOOKUP($C:$C,노임!$C:$G,4,FALSE),"")</f>
        <v/>
      </c>
      <c r="M1000" s="507" t="str">
        <f>IF(L1000="","",TRUNC($G1000*L1000,0))</f>
        <v/>
      </c>
      <c r="N1000" s="507"/>
      <c r="O1000" s="507" t="str">
        <f>IF(N1000="","",TRUNC($G1000*N1000,0))</f>
        <v/>
      </c>
      <c r="P1000" s="508"/>
      <c r="Q1000" s="509" t="str">
        <f>IF(F1000="인","노임"&amp;VLOOKUP($C:$C,노임!C:G,5,FALSE)&amp;"번","단가"&amp;VLOOKUP($H:$H,단가!$A:$B,2,FALSE)&amp;"번")</f>
        <v>단가30번</v>
      </c>
      <c r="R1000" s="510"/>
      <c r="S1000" s="131"/>
      <c r="T1000" s="470" t="str">
        <f t="shared" si="1144"/>
        <v>단가30번</v>
      </c>
      <c r="V1000" s="549"/>
      <c r="W1000" s="471">
        <f t="shared" ref="W1000:X1000" si="1208">W999</f>
        <v>39</v>
      </c>
      <c r="X1000" s="471" t="e">
        <f t="shared" si="1208"/>
        <v>#REF!</v>
      </c>
      <c r="Y1000" s="471" t="e">
        <f t="shared" si="1133"/>
        <v>#REF!</v>
      </c>
      <c r="Z1000" s="471"/>
      <c r="AA1000" s="471"/>
      <c r="AB1000" s="470"/>
      <c r="AD1000" s="470"/>
      <c r="AE1000" s="470"/>
    </row>
    <row r="1001" spans="1:40" s="457" customFormat="1" ht="15.75" customHeight="1" x14ac:dyDescent="0.15">
      <c r="A1001" s="470"/>
      <c r="B1001" s="95"/>
      <c r="C1001" s="140" t="s">
        <v>830</v>
      </c>
      <c r="D1001" s="95"/>
      <c r="E1001" s="141" t="s">
        <v>831</v>
      </c>
      <c r="F1001" s="96" t="s">
        <v>812</v>
      </c>
      <c r="G1001" s="505">
        <v>0.5</v>
      </c>
      <c r="H1001" s="463" t="str">
        <f t="shared" si="1129"/>
        <v>연마지#120매</v>
      </c>
      <c r="I1001" s="451" t="str">
        <f t="shared" si="1204"/>
        <v>연마지#120매</v>
      </c>
      <c r="J1001" s="506">
        <f>IF(OR($F1001="인",$F1001=""),"",VLOOKUP($H1001,단가!$A:$S,19,FALSE))</f>
        <v>200</v>
      </c>
      <c r="K1001" s="507">
        <f t="shared" si="1205"/>
        <v>100</v>
      </c>
      <c r="L1001" s="506" t="str">
        <f>IF($F1001="인",VLOOKUP($C:$C,노임!$C:$G,4,FALSE),"")</f>
        <v/>
      </c>
      <c r="M1001" s="507" t="str">
        <f>IF(L1001="","",TRUNC($G1001*L1001,0))</f>
        <v/>
      </c>
      <c r="N1001" s="507"/>
      <c r="O1001" s="507" t="str">
        <f>IF(N1001="","",TRUNC($G1001*N1001,0))</f>
        <v/>
      </c>
      <c r="P1001" s="508"/>
      <c r="Q1001" s="509" t="str">
        <f>IF(F1001="인","노임"&amp;VLOOKUP($C:$C,노임!C:G,5,FALSE)&amp;"번","단가"&amp;VLOOKUP($H:$H,단가!$A:$B,2,FALSE)&amp;"번")</f>
        <v>단가57번</v>
      </c>
      <c r="R1001" s="510"/>
      <c r="S1001" s="131"/>
      <c r="T1001" s="470" t="str">
        <f t="shared" si="1144"/>
        <v>단가57번</v>
      </c>
      <c r="U1001" s="470"/>
      <c r="V1001" s="549"/>
      <c r="W1001" s="471">
        <f t="shared" ref="W1001:X1001" si="1209">W1000</f>
        <v>39</v>
      </c>
      <c r="X1001" s="471" t="e">
        <f t="shared" si="1209"/>
        <v>#REF!</v>
      </c>
      <c r="Y1001" s="471" t="e">
        <f t="shared" si="1133"/>
        <v>#REF!</v>
      </c>
      <c r="Z1001" s="471"/>
      <c r="AA1001" s="471"/>
      <c r="AB1001" s="470"/>
      <c r="AC1001" s="470"/>
      <c r="AD1001" s="470"/>
      <c r="AE1001" s="470"/>
      <c r="AF1001" s="470"/>
      <c r="AG1001" s="470"/>
      <c r="AH1001" s="470"/>
      <c r="AI1001" s="470"/>
      <c r="AJ1001" s="470"/>
      <c r="AK1001" s="470"/>
      <c r="AL1001" s="470"/>
      <c r="AM1001" s="470"/>
      <c r="AN1001" s="470"/>
    </row>
    <row r="1002" spans="1:40" s="470" customFormat="1" ht="15.75" customHeight="1" x14ac:dyDescent="0.15">
      <c r="B1002" s="95"/>
      <c r="C1002" s="140" t="s">
        <v>817</v>
      </c>
      <c r="D1002" s="95"/>
      <c r="E1002" s="141"/>
      <c r="F1002" s="96" t="s">
        <v>750</v>
      </c>
      <c r="G1002" s="505">
        <v>8.3000000000000004E-2</v>
      </c>
      <c r="H1002" s="463" t="str">
        <f t="shared" si="1129"/>
        <v>도장공인</v>
      </c>
      <c r="I1002" s="451" t="str">
        <f t="shared" si="1204"/>
        <v>도장공인</v>
      </c>
      <c r="J1002" s="506" t="str">
        <f>IF(OR($F1002="인",$F1002=""),"",VLOOKUP($H1002,단가!$A:$S,19,FALSE))</f>
        <v/>
      </c>
      <c r="K1002" s="507" t="str">
        <f t="shared" si="1205"/>
        <v/>
      </c>
      <c r="L1002" s="506">
        <f>IF($F1002="인",VLOOKUP($C:$C,노임!$C:$G,4,FALSE),"")</f>
        <v>148659</v>
      </c>
      <c r="M1002" s="507">
        <f>IF(L1002="","",TRUNC($G1002*L1002,0))</f>
        <v>12338</v>
      </c>
      <c r="N1002" s="507"/>
      <c r="O1002" s="507" t="str">
        <f>IF(N1002="","",TRUNC($G1002*N1002,0))</f>
        <v/>
      </c>
      <c r="P1002" s="508"/>
      <c r="Q1002" s="509" t="str">
        <f>IF(F1002="인","노임"&amp;VLOOKUP($C:$C,노임!C:G,5,FALSE)&amp;"번","단가"&amp;VLOOKUP($H:$H,단가!$A:$B,2,FALSE)&amp;"번")</f>
        <v>노임1029번</v>
      </c>
      <c r="R1002" s="510"/>
      <c r="S1002" s="131"/>
      <c r="T1002" s="470" t="str">
        <f t="shared" si="1144"/>
        <v>노임1029번</v>
      </c>
      <c r="V1002" s="549"/>
      <c r="W1002" s="471">
        <f t="shared" ref="W1002:X1002" si="1210">W1001</f>
        <v>39</v>
      </c>
      <c r="X1002" s="471" t="e">
        <f t="shared" si="1210"/>
        <v>#REF!</v>
      </c>
      <c r="Y1002" s="471" t="e">
        <f t="shared" si="1133"/>
        <v>#REF!</v>
      </c>
      <c r="Z1002" s="471"/>
      <c r="AA1002" s="471"/>
    </row>
    <row r="1003" spans="1:40" s="470" customFormat="1" ht="15.75" customHeight="1" x14ac:dyDescent="0.15">
      <c r="B1003" s="95"/>
      <c r="C1003" s="140" t="s">
        <v>373</v>
      </c>
      <c r="D1003" s="95"/>
      <c r="E1003" s="141" t="s">
        <v>1038</v>
      </c>
      <c r="F1003" s="94" t="s">
        <v>777</v>
      </c>
      <c r="G1003" s="505">
        <v>1</v>
      </c>
      <c r="H1003" s="463" t="str">
        <f t="shared" si="1129"/>
        <v>공구손료인력품의 2%식</v>
      </c>
      <c r="I1003" s="451" t="str">
        <f t="shared" si="1204"/>
        <v>공구손료인력품의 2%식</v>
      </c>
      <c r="J1003" s="506">
        <f>TRUNC(M1002*2%,0)</f>
        <v>246</v>
      </c>
      <c r="K1003" s="507">
        <f t="shared" si="1205"/>
        <v>246</v>
      </c>
      <c r="L1003" s="506"/>
      <c r="M1003" s="507"/>
      <c r="N1003" s="507"/>
      <c r="O1003" s="507"/>
      <c r="P1003" s="508"/>
      <c r="Q1003" s="512"/>
      <c r="R1003" s="534"/>
      <c r="S1003" s="131"/>
      <c r="T1003" s="470" t="str">
        <f t="shared" si="1144"/>
        <v/>
      </c>
      <c r="V1003" s="549"/>
      <c r="W1003" s="471">
        <f t="shared" ref="W1003:X1003" si="1211">W1002</f>
        <v>39</v>
      </c>
      <c r="X1003" s="471" t="e">
        <f t="shared" si="1211"/>
        <v>#REF!</v>
      </c>
      <c r="Y1003" s="471" t="e">
        <f t="shared" ref="Y1003:Y1066" si="1212">X1003-W1003</f>
        <v>#REF!</v>
      </c>
      <c r="Z1003" s="471"/>
      <c r="AA1003" s="471"/>
      <c r="AD1003" s="457"/>
      <c r="AE1003" s="457"/>
    </row>
    <row r="1004" spans="1:40" s="470" customFormat="1" ht="15.75" customHeight="1" x14ac:dyDescent="0.15">
      <c r="B1004" s="95"/>
      <c r="C1004" s="140"/>
      <c r="D1004" s="95"/>
      <c r="E1004" s="141"/>
      <c r="F1004" s="94"/>
      <c r="G1004" s="505"/>
      <c r="H1004" s="463" t="str">
        <f t="shared" si="1129"/>
        <v/>
      </c>
      <c r="I1004" s="451"/>
      <c r="J1004" s="506"/>
      <c r="K1004" s="507"/>
      <c r="L1004" s="506"/>
      <c r="M1004" s="507"/>
      <c r="N1004" s="507"/>
      <c r="O1004" s="507"/>
      <c r="P1004" s="508"/>
      <c r="Q1004" s="512"/>
      <c r="R1004" s="534"/>
      <c r="S1004" s="131"/>
      <c r="T1004" s="470" t="str">
        <f t="shared" si="1144"/>
        <v/>
      </c>
      <c r="V1004" s="549"/>
      <c r="W1004" s="471">
        <f t="shared" ref="W1004:X1004" si="1213">W1003</f>
        <v>39</v>
      </c>
      <c r="X1004" s="471" t="e">
        <f t="shared" si="1213"/>
        <v>#REF!</v>
      </c>
      <c r="Y1004" s="471" t="e">
        <f t="shared" si="1212"/>
        <v>#REF!</v>
      </c>
      <c r="Z1004" s="471"/>
      <c r="AA1004" s="471"/>
    </row>
    <row r="1005" spans="1:40" s="470" customFormat="1" ht="15.75" customHeight="1" x14ac:dyDescent="0.15">
      <c r="B1005" s="95"/>
      <c r="C1005" s="140"/>
      <c r="D1005" s="95"/>
      <c r="E1005" s="141"/>
      <c r="F1005" s="94"/>
      <c r="G1005" s="505"/>
      <c r="H1005" s="463" t="str">
        <f t="shared" si="1129"/>
        <v/>
      </c>
      <c r="I1005" s="451"/>
      <c r="J1005" s="506"/>
      <c r="K1005" s="507"/>
      <c r="L1005" s="506"/>
      <c r="M1005" s="507"/>
      <c r="N1005" s="507"/>
      <c r="O1005" s="507"/>
      <c r="P1005" s="508"/>
      <c r="Q1005" s="512"/>
      <c r="R1005" s="534"/>
      <c r="S1005" s="131"/>
      <c r="T1005" s="470" t="str">
        <f t="shared" si="1144"/>
        <v/>
      </c>
      <c r="V1005" s="549"/>
      <c r="W1005" s="471">
        <f t="shared" ref="W1005:X1005" si="1214">W1004</f>
        <v>39</v>
      </c>
      <c r="X1005" s="471" t="e">
        <f t="shared" si="1214"/>
        <v>#REF!</v>
      </c>
      <c r="Y1005" s="471" t="e">
        <f t="shared" si="1212"/>
        <v>#REF!</v>
      </c>
      <c r="Z1005" s="471"/>
      <c r="AA1005" s="471"/>
    </row>
    <row r="1006" spans="1:40" s="470" customFormat="1" ht="15.75" customHeight="1" x14ac:dyDescent="0.15">
      <c r="B1006" s="95"/>
      <c r="C1006" s="140"/>
      <c r="D1006" s="95"/>
      <c r="E1006" s="141"/>
      <c r="F1006" s="94"/>
      <c r="G1006" s="505"/>
      <c r="H1006" s="463" t="str">
        <f t="shared" si="1129"/>
        <v/>
      </c>
      <c r="I1006" s="451"/>
      <c r="J1006" s="506"/>
      <c r="K1006" s="507"/>
      <c r="L1006" s="506"/>
      <c r="M1006" s="507"/>
      <c r="N1006" s="507"/>
      <c r="O1006" s="507"/>
      <c r="P1006" s="508"/>
      <c r="Q1006" s="512"/>
      <c r="R1006" s="534"/>
      <c r="S1006" s="131"/>
      <c r="T1006" s="470" t="str">
        <f t="shared" si="1144"/>
        <v/>
      </c>
      <c r="V1006" s="549"/>
      <c r="W1006" s="471">
        <f t="shared" ref="W1006:X1006" si="1215">W1005</f>
        <v>39</v>
      </c>
      <c r="X1006" s="471" t="e">
        <f t="shared" si="1215"/>
        <v>#REF!</v>
      </c>
      <c r="Y1006" s="471" t="e">
        <f t="shared" si="1212"/>
        <v>#REF!</v>
      </c>
      <c r="Z1006" s="471"/>
      <c r="AA1006" s="471"/>
    </row>
    <row r="1007" spans="1:40" s="470" customFormat="1" ht="15.75" customHeight="1" x14ac:dyDescent="0.15">
      <c r="B1007" s="95"/>
      <c r="C1007" s="140"/>
      <c r="D1007" s="95"/>
      <c r="E1007" s="141"/>
      <c r="F1007" s="94"/>
      <c r="G1007" s="505"/>
      <c r="H1007" s="463" t="str">
        <f t="shared" si="1129"/>
        <v/>
      </c>
      <c r="I1007" s="451"/>
      <c r="J1007" s="506"/>
      <c r="K1007" s="507"/>
      <c r="L1007" s="506"/>
      <c r="M1007" s="507"/>
      <c r="N1007" s="507"/>
      <c r="O1007" s="507"/>
      <c r="P1007" s="508"/>
      <c r="Q1007" s="512"/>
      <c r="R1007" s="534"/>
      <c r="S1007" s="131"/>
      <c r="T1007" s="470" t="str">
        <f t="shared" si="1144"/>
        <v/>
      </c>
      <c r="V1007" s="549"/>
      <c r="W1007" s="471">
        <f t="shared" ref="W1007:X1007" si="1216">W1006</f>
        <v>39</v>
      </c>
      <c r="X1007" s="471" t="e">
        <f t="shared" si="1216"/>
        <v>#REF!</v>
      </c>
      <c r="Y1007" s="471" t="e">
        <f t="shared" si="1212"/>
        <v>#REF!</v>
      </c>
      <c r="Z1007" s="471"/>
      <c r="AA1007" s="471"/>
    </row>
    <row r="1008" spans="1:40" s="470" customFormat="1" ht="15.75" customHeight="1" x14ac:dyDescent="0.15">
      <c r="B1008" s="95"/>
      <c r="C1008" s="140"/>
      <c r="D1008" s="95"/>
      <c r="E1008" s="141"/>
      <c r="F1008" s="94"/>
      <c r="G1008" s="505"/>
      <c r="H1008" s="463" t="str">
        <f t="shared" si="1129"/>
        <v/>
      </c>
      <c r="I1008" s="451"/>
      <c r="J1008" s="506"/>
      <c r="K1008" s="507"/>
      <c r="L1008" s="506"/>
      <c r="M1008" s="507"/>
      <c r="N1008" s="507"/>
      <c r="O1008" s="507"/>
      <c r="P1008" s="508"/>
      <c r="Q1008" s="512"/>
      <c r="R1008" s="534"/>
      <c r="S1008" s="131"/>
      <c r="T1008" s="470" t="str">
        <f t="shared" si="1144"/>
        <v/>
      </c>
      <c r="V1008" s="549"/>
      <c r="W1008" s="471">
        <f t="shared" ref="W1008:X1008" si="1217">W1007</f>
        <v>39</v>
      </c>
      <c r="X1008" s="471" t="e">
        <f t="shared" si="1217"/>
        <v>#REF!</v>
      </c>
      <c r="Y1008" s="471" t="e">
        <f t="shared" si="1212"/>
        <v>#REF!</v>
      </c>
      <c r="Z1008" s="471"/>
      <c r="AA1008" s="471"/>
      <c r="AB1008" s="457"/>
    </row>
    <row r="1009" spans="1:40" s="470" customFormat="1" ht="15.75" customHeight="1" x14ac:dyDescent="0.15">
      <c r="B1009" s="95"/>
      <c r="C1009" s="140"/>
      <c r="D1009" s="95"/>
      <c r="E1009" s="141"/>
      <c r="F1009" s="94"/>
      <c r="G1009" s="505"/>
      <c r="H1009" s="463" t="str">
        <f t="shared" ref="H1009:H1015" si="1218">CONCATENATE(C1009,E1009,F1009)</f>
        <v/>
      </c>
      <c r="I1009" s="451"/>
      <c r="J1009" s="506"/>
      <c r="K1009" s="507"/>
      <c r="L1009" s="506"/>
      <c r="M1009" s="507"/>
      <c r="N1009" s="507"/>
      <c r="O1009" s="507"/>
      <c r="P1009" s="508"/>
      <c r="Q1009" s="512"/>
      <c r="R1009" s="534"/>
      <c r="S1009" s="131"/>
      <c r="T1009" s="470" t="str">
        <f t="shared" si="1144"/>
        <v/>
      </c>
      <c r="V1009" s="549"/>
      <c r="W1009" s="471">
        <f t="shared" ref="W1009:X1009" si="1219">W1008</f>
        <v>39</v>
      </c>
      <c r="X1009" s="471" t="e">
        <f t="shared" si="1219"/>
        <v>#REF!</v>
      </c>
      <c r="Y1009" s="471" t="e">
        <f t="shared" si="1212"/>
        <v>#REF!</v>
      </c>
      <c r="Z1009" s="471"/>
      <c r="AA1009" s="471"/>
    </row>
    <row r="1010" spans="1:40" s="470" customFormat="1" ht="15.75" customHeight="1" x14ac:dyDescent="0.15">
      <c r="B1010" s="95"/>
      <c r="C1010" s="140"/>
      <c r="D1010" s="95"/>
      <c r="E1010" s="141"/>
      <c r="F1010" s="94"/>
      <c r="G1010" s="505"/>
      <c r="H1010" s="463" t="str">
        <f t="shared" si="1218"/>
        <v/>
      </c>
      <c r="I1010" s="451"/>
      <c r="J1010" s="506"/>
      <c r="K1010" s="507"/>
      <c r="L1010" s="506"/>
      <c r="M1010" s="507"/>
      <c r="N1010" s="507"/>
      <c r="O1010" s="507"/>
      <c r="P1010" s="508"/>
      <c r="Q1010" s="512"/>
      <c r="R1010" s="534"/>
      <c r="S1010" s="131"/>
      <c r="T1010" s="470" t="str">
        <f t="shared" ref="T1010:T1015" si="1220">CONCATENATE(Q1010,R1010)</f>
        <v/>
      </c>
      <c r="V1010" s="549"/>
      <c r="W1010" s="471">
        <f t="shared" ref="W1010:X1010" si="1221">W1009</f>
        <v>39</v>
      </c>
      <c r="X1010" s="471" t="e">
        <f t="shared" si="1221"/>
        <v>#REF!</v>
      </c>
      <c r="Y1010" s="471" t="e">
        <f t="shared" si="1212"/>
        <v>#REF!</v>
      </c>
      <c r="Z1010" s="471"/>
      <c r="AA1010" s="471"/>
    </row>
    <row r="1011" spans="1:40" s="470" customFormat="1" ht="15.75" customHeight="1" x14ac:dyDescent="0.15">
      <c r="B1011" s="95"/>
      <c r="C1011" s="140"/>
      <c r="D1011" s="95"/>
      <c r="E1011" s="141"/>
      <c r="F1011" s="94"/>
      <c r="G1011" s="505"/>
      <c r="H1011" s="463" t="str">
        <f t="shared" si="1218"/>
        <v/>
      </c>
      <c r="I1011" s="451"/>
      <c r="J1011" s="506"/>
      <c r="K1011" s="507"/>
      <c r="L1011" s="506"/>
      <c r="M1011" s="507"/>
      <c r="N1011" s="507"/>
      <c r="O1011" s="507"/>
      <c r="P1011" s="508"/>
      <c r="Q1011" s="512"/>
      <c r="R1011" s="513"/>
      <c r="S1011" s="131"/>
      <c r="T1011" s="470" t="str">
        <f t="shared" si="1220"/>
        <v/>
      </c>
      <c r="V1011" s="549"/>
      <c r="W1011" s="471">
        <f t="shared" ref="W1011:X1011" si="1222">W1010</f>
        <v>39</v>
      </c>
      <c r="X1011" s="471" t="e">
        <f t="shared" si="1222"/>
        <v>#REF!</v>
      </c>
      <c r="Y1011" s="471" t="e">
        <f t="shared" si="1212"/>
        <v>#REF!</v>
      </c>
      <c r="Z1011" s="471"/>
      <c r="AA1011" s="471"/>
      <c r="AB1011" s="435"/>
    </row>
    <row r="1012" spans="1:40" s="470" customFormat="1" ht="15.75" customHeight="1" x14ac:dyDescent="0.15">
      <c r="B1012" s="514" t="s">
        <v>751</v>
      </c>
      <c r="C1012" s="515"/>
      <c r="D1012" s="516"/>
      <c r="E1012" s="517"/>
      <c r="F1012" s="518"/>
      <c r="G1012" s="519"/>
      <c r="H1012" s="463" t="str">
        <f t="shared" si="1218"/>
        <v/>
      </c>
      <c r="I1012" s="520">
        <f>목록!$B$45</f>
        <v>39</v>
      </c>
      <c r="J1012" s="521"/>
      <c r="K1012" s="522">
        <f>SUM(K998:K1011)</f>
        <v>12385</v>
      </c>
      <c r="L1012" s="521"/>
      <c r="M1012" s="522">
        <f>SUM(M998:M1011)</f>
        <v>12338</v>
      </c>
      <c r="N1012" s="521"/>
      <c r="O1012" s="522">
        <f>SUM(O998:O1011)</f>
        <v>0</v>
      </c>
      <c r="P1012" s="523"/>
      <c r="Q1012" s="512"/>
      <c r="R1012" s="513"/>
      <c r="S1012" s="524"/>
      <c r="T1012" s="470" t="str">
        <f t="shared" si="1220"/>
        <v/>
      </c>
      <c r="V1012" s="549"/>
      <c r="W1012" s="471">
        <f t="shared" ref="W1012:X1012" si="1223">W1011</f>
        <v>39</v>
      </c>
      <c r="X1012" s="471" t="e">
        <f t="shared" si="1223"/>
        <v>#REF!</v>
      </c>
      <c r="Y1012" s="471" t="e">
        <f t="shared" si="1212"/>
        <v>#REF!</v>
      </c>
      <c r="Z1012" s="471"/>
      <c r="AA1012" s="471"/>
      <c r="AB1012" s="435"/>
    </row>
    <row r="1013" spans="1:40" s="470" customFormat="1" ht="15.75" customHeight="1" x14ac:dyDescent="0.15">
      <c r="B1013" s="453"/>
      <c r="C1013" s="209" t="s">
        <v>1037</v>
      </c>
      <c r="D1013" s="95"/>
      <c r="E1013" s="141"/>
      <c r="F1013" s="94"/>
      <c r="G1013" s="505"/>
      <c r="H1013" s="463" t="str">
        <f t="shared" si="1218"/>
        <v>※ 실내건축표준품셈 도장-03 Putty 철재면</v>
      </c>
      <c r="I1013" s="451"/>
      <c r="J1013" s="506"/>
      <c r="K1013" s="507"/>
      <c r="L1013" s="506"/>
      <c r="M1013" s="507"/>
      <c r="N1013" s="507"/>
      <c r="O1013" s="507"/>
      <c r="P1013" s="508"/>
      <c r="Q1013" s="512"/>
      <c r="R1013" s="513"/>
      <c r="S1013" s="131"/>
      <c r="T1013" s="470" t="str">
        <f t="shared" si="1220"/>
        <v/>
      </c>
      <c r="V1013" s="549"/>
      <c r="W1013" s="615">
        <f t="shared" ref="W1013:X1013" si="1224">W1012</f>
        <v>39</v>
      </c>
      <c r="X1013" s="471" t="e">
        <f t="shared" si="1224"/>
        <v>#REF!</v>
      </c>
      <c r="Y1013" s="471" t="e">
        <f t="shared" si="1212"/>
        <v>#REF!</v>
      </c>
      <c r="Z1013" s="471"/>
      <c r="AA1013" s="471"/>
      <c r="AB1013" s="435"/>
    </row>
    <row r="1014" spans="1:40" s="470" customFormat="1" ht="15.75" customHeight="1" x14ac:dyDescent="0.15">
      <c r="A1014" s="457"/>
      <c r="B1014" s="453"/>
      <c r="C1014" s="209"/>
      <c r="D1014" s="95"/>
      <c r="E1014" s="141"/>
      <c r="F1014" s="94"/>
      <c r="G1014" s="505"/>
      <c r="H1014" s="463" t="str">
        <f t="shared" si="1218"/>
        <v/>
      </c>
      <c r="I1014" s="451"/>
      <c r="J1014" s="506"/>
      <c r="K1014" s="507"/>
      <c r="L1014" s="506"/>
      <c r="M1014" s="507"/>
      <c r="N1014" s="507"/>
      <c r="O1014" s="507"/>
      <c r="P1014" s="508"/>
      <c r="Q1014" s="512"/>
      <c r="R1014" s="513"/>
      <c r="S1014" s="131"/>
      <c r="T1014" s="470" t="str">
        <f t="shared" si="1220"/>
        <v/>
      </c>
      <c r="V1014" s="551"/>
      <c r="W1014" s="471">
        <f t="shared" ref="W1014:X1014" si="1225">W1013</f>
        <v>39</v>
      </c>
      <c r="X1014" s="471" t="e">
        <f t="shared" si="1225"/>
        <v>#REF!</v>
      </c>
      <c r="Y1014" s="471" t="e">
        <f t="shared" si="1212"/>
        <v>#REF!</v>
      </c>
      <c r="Z1014" s="471"/>
      <c r="AA1014" s="471"/>
      <c r="AB1014" s="435"/>
    </row>
    <row r="1015" spans="1:40" s="470" customFormat="1" ht="15.75" customHeight="1" x14ac:dyDescent="0.15">
      <c r="B1015" s="514"/>
      <c r="C1015" s="515"/>
      <c r="D1015" s="516"/>
      <c r="E1015" s="517"/>
      <c r="F1015" s="518"/>
      <c r="G1015" s="519"/>
      <c r="H1015" s="463" t="str">
        <f t="shared" si="1218"/>
        <v/>
      </c>
      <c r="I1015" s="520"/>
      <c r="J1015" s="521"/>
      <c r="K1015" s="522"/>
      <c r="L1015" s="521"/>
      <c r="M1015" s="522"/>
      <c r="N1015" s="521"/>
      <c r="O1015" s="522"/>
      <c r="P1015" s="523"/>
      <c r="Q1015" s="512"/>
      <c r="R1015" s="513"/>
      <c r="S1015" s="524"/>
      <c r="T1015" s="470" t="str">
        <f t="shared" si="1220"/>
        <v/>
      </c>
      <c r="U1015" s="457"/>
      <c r="W1015" s="471">
        <f t="shared" ref="W1015:X1015" si="1226">W1014</f>
        <v>39</v>
      </c>
      <c r="X1015" s="471" t="e">
        <f t="shared" si="1226"/>
        <v>#REF!</v>
      </c>
      <c r="Y1015" s="471" t="e">
        <f t="shared" si="1212"/>
        <v>#REF!</v>
      </c>
      <c r="Z1015" s="471"/>
      <c r="AA1015" s="471"/>
      <c r="AB1015" s="435"/>
      <c r="AC1015" s="457"/>
      <c r="AD1015" s="457"/>
      <c r="AE1015" s="457"/>
      <c r="AF1015" s="457"/>
      <c r="AG1015" s="457"/>
      <c r="AH1015" s="457"/>
      <c r="AI1015" s="457"/>
      <c r="AJ1015" s="457"/>
      <c r="AK1015" s="457"/>
      <c r="AL1015" s="457"/>
      <c r="AM1015" s="457"/>
      <c r="AN1015" s="457"/>
    </row>
    <row r="1016" spans="1:40" s="457" customFormat="1" ht="15.75" customHeight="1" x14ac:dyDescent="0.15">
      <c r="A1016" s="470"/>
      <c r="C1016" s="458"/>
      <c r="D1016" s="459"/>
      <c r="E1016" s="460"/>
      <c r="F1016" s="461"/>
      <c r="G1016" s="462"/>
      <c r="H1016" s="463" t="str">
        <f t="shared" ref="H1016:H1047" si="1227">CONCATENATE(C1016,E1016,F1016)</f>
        <v/>
      </c>
      <c r="I1016" s="464"/>
      <c r="J1016" s="465"/>
      <c r="K1016" s="465"/>
      <c r="L1016" s="465"/>
      <c r="M1016" s="465"/>
      <c r="N1016" s="465"/>
      <c r="O1016" s="466"/>
      <c r="P1016" s="467"/>
      <c r="Q1016" s="468"/>
      <c r="R1016" s="469"/>
      <c r="S1016" s="467"/>
      <c r="T1016" s="470" t="str">
        <f t="shared" ref="T1016:T1033" si="1228">CONCATENATE(Q1016,R1016)</f>
        <v/>
      </c>
      <c r="U1016" s="470"/>
      <c r="V1016" s="470"/>
      <c r="W1016" s="533">
        <f t="shared" ref="W1016" si="1229">I1038</f>
        <v>40</v>
      </c>
      <c r="X1016" s="533" t="e">
        <f t="shared" ref="X1016" si="1230">X1015+1</f>
        <v>#REF!</v>
      </c>
      <c r="Y1016" s="533" t="e">
        <f t="shared" si="1212"/>
        <v>#REF!</v>
      </c>
      <c r="Z1016" s="533"/>
      <c r="AA1016" s="533"/>
      <c r="AB1016" s="435"/>
      <c r="AC1016" s="470"/>
      <c r="AD1016" s="470"/>
      <c r="AE1016" s="470"/>
      <c r="AF1016" s="470"/>
      <c r="AG1016" s="470"/>
      <c r="AH1016" s="470"/>
      <c r="AI1016" s="470"/>
      <c r="AJ1016" s="470"/>
      <c r="AK1016" s="470"/>
      <c r="AL1016" s="470"/>
      <c r="AM1016" s="470"/>
      <c r="AN1016" s="470"/>
    </row>
    <row r="1017" spans="1:40" s="470" customFormat="1" ht="15.75" customHeight="1" x14ac:dyDescent="0.15">
      <c r="A1017" s="457"/>
      <c r="B1017" s="473"/>
      <c r="C1017" s="474" t="str">
        <f>"   항목번호 : "&amp;목록!L$46</f>
        <v xml:space="preserve">   항목번호 : 제40호표</v>
      </c>
      <c r="D1017" s="475">
        <f>목록!B$46</f>
        <v>40</v>
      </c>
      <c r="E1017" s="476"/>
      <c r="F1017" s="477"/>
      <c r="G1017" s="478"/>
      <c r="H1017" s="463" t="str">
        <f t="shared" si="1227"/>
        <v xml:space="preserve">   항목번호 : 제40호표</v>
      </c>
      <c r="I1017" s="479"/>
      <c r="J1017" s="480"/>
      <c r="K1017" s="481"/>
      <c r="L1017" s="482"/>
      <c r="M1017" s="482"/>
      <c r="N1017" s="482"/>
      <c r="O1017" s="466"/>
      <c r="P1017" s="483"/>
      <c r="Q1017" s="484"/>
      <c r="R1017" s="485"/>
      <c r="S1017" s="483"/>
      <c r="T1017" s="470" t="str">
        <f t="shared" si="1228"/>
        <v/>
      </c>
      <c r="W1017" s="471">
        <f t="shared" ref="W1017:X1017" si="1231">W1016</f>
        <v>40</v>
      </c>
      <c r="X1017" s="471" t="e">
        <f t="shared" si="1231"/>
        <v>#REF!</v>
      </c>
      <c r="Y1017" s="471" t="e">
        <f t="shared" si="1212"/>
        <v>#REF!</v>
      </c>
      <c r="Z1017" s="471"/>
      <c r="AA1017" s="471"/>
      <c r="AB1017" s="435"/>
    </row>
    <row r="1018" spans="1:40" s="470" customFormat="1" ht="15.75" customHeight="1" x14ac:dyDescent="0.15">
      <c r="A1018" s="457"/>
      <c r="B1018" s="473"/>
      <c r="C1018" s="474" t="str">
        <f>"   공      종 : "&amp;목록!D$46</f>
        <v xml:space="preserve">   공      종 : 도장작업시보양작업</v>
      </c>
      <c r="D1018" s="484"/>
      <c r="E1018" s="476"/>
      <c r="F1018" s="473"/>
      <c r="G1018" s="478"/>
      <c r="H1018" s="463" t="str">
        <f t="shared" si="1227"/>
        <v xml:space="preserve">   공      종 : 도장작업시보양작업</v>
      </c>
      <c r="I1018" s="479"/>
      <c r="J1018" s="480"/>
      <c r="K1018" s="481"/>
      <c r="L1018" s="482"/>
      <c r="M1018" s="482"/>
      <c r="N1018" s="482"/>
      <c r="O1018" s="466"/>
      <c r="P1018" s="483"/>
      <c r="Q1018" s="484"/>
      <c r="R1018" s="485"/>
      <c r="S1018" s="483"/>
      <c r="T1018" s="470" t="str">
        <f t="shared" si="1228"/>
        <v/>
      </c>
      <c r="U1018" s="457"/>
      <c r="W1018" s="471">
        <f t="shared" ref="W1018:X1018" si="1232">W1017</f>
        <v>40</v>
      </c>
      <c r="X1018" s="471" t="e">
        <f t="shared" si="1232"/>
        <v>#REF!</v>
      </c>
      <c r="Y1018" s="471" t="e">
        <f t="shared" si="1212"/>
        <v>#REF!</v>
      </c>
      <c r="Z1018" s="471"/>
      <c r="AA1018" s="471"/>
      <c r="AB1018" s="435"/>
      <c r="AC1018" s="457"/>
      <c r="AD1018" s="457"/>
      <c r="AE1018" s="457"/>
      <c r="AF1018" s="457"/>
      <c r="AG1018" s="457"/>
      <c r="AH1018" s="457"/>
      <c r="AI1018" s="457"/>
      <c r="AJ1018" s="457"/>
      <c r="AK1018" s="457"/>
      <c r="AL1018" s="457"/>
      <c r="AM1018" s="457"/>
      <c r="AN1018" s="457"/>
    </row>
    <row r="1019" spans="1:40" s="457" customFormat="1" ht="15.75" customHeight="1" x14ac:dyDescent="0.15">
      <c r="B1019" s="473"/>
      <c r="C1019" s="474" t="str">
        <f xml:space="preserve"> "   규      격 : "&amp;목록!F$46</f>
        <v xml:space="preserve">   규      격 : </v>
      </c>
      <c r="D1019" s="484"/>
      <c r="E1019" s="476"/>
      <c r="F1019" s="473"/>
      <c r="G1019" s="478"/>
      <c r="H1019" s="463" t="str">
        <f t="shared" si="1227"/>
        <v xml:space="preserve">   규      격 : </v>
      </c>
      <c r="I1019" s="479"/>
      <c r="J1019" s="480" t="s">
        <v>348</v>
      </c>
      <c r="K1019" s="481"/>
      <c r="L1019" s="482" t="s">
        <v>349</v>
      </c>
      <c r="M1019" s="482"/>
      <c r="N1019" s="482" t="s">
        <v>240</v>
      </c>
      <c r="O1019" s="466"/>
      <c r="P1019" s="483"/>
      <c r="Q1019" s="484" t="s">
        <v>752</v>
      </c>
      <c r="R1019" s="484"/>
      <c r="S1019" s="483"/>
      <c r="T1019" s="470" t="str">
        <f t="shared" si="1228"/>
        <v>합계</v>
      </c>
      <c r="V1019" s="547"/>
      <c r="W1019" s="471">
        <f t="shared" ref="W1019:X1019" si="1233">W1018</f>
        <v>40</v>
      </c>
      <c r="X1019" s="471" t="e">
        <f t="shared" si="1233"/>
        <v>#REF!</v>
      </c>
      <c r="Y1019" s="471" t="e">
        <f t="shared" si="1212"/>
        <v>#REF!</v>
      </c>
      <c r="Z1019" s="471"/>
      <c r="AA1019" s="471"/>
      <c r="AB1019" s="435"/>
    </row>
    <row r="1020" spans="1:40" s="457" customFormat="1" ht="15.75" customHeight="1" x14ac:dyDescent="0.15">
      <c r="B1020" s="473"/>
      <c r="C1020" s="474" t="str">
        <f>"   단      위 : "&amp;목록!G$46</f>
        <v xml:space="preserve">   단      위 : ㎡</v>
      </c>
      <c r="D1020" s="484"/>
      <c r="E1020" s="476"/>
      <c r="F1020" s="473"/>
      <c r="G1020" s="478"/>
      <c r="H1020" s="463" t="str">
        <f t="shared" si="1227"/>
        <v xml:space="preserve">   단      위 : ㎡</v>
      </c>
      <c r="I1020" s="479"/>
      <c r="J1020" s="486">
        <f>K1038</f>
        <v>1384</v>
      </c>
      <c r="K1020" s="481"/>
      <c r="L1020" s="487">
        <f>M1038</f>
        <v>1602</v>
      </c>
      <c r="M1020" s="482"/>
      <c r="N1020" s="482">
        <f>O1038</f>
        <v>0</v>
      </c>
      <c r="O1020" s="466"/>
      <c r="P1020" s="483"/>
      <c r="Q1020" s="488">
        <f>J1020+L1020+N1020</f>
        <v>2986</v>
      </c>
      <c r="R1020" s="489"/>
      <c r="S1020" s="483"/>
      <c r="T1020" s="470" t="str">
        <f t="shared" si="1228"/>
        <v>2986</v>
      </c>
      <c r="V1020" s="547"/>
      <c r="W1020" s="471">
        <f t="shared" ref="W1020:X1020" si="1234">W1019</f>
        <v>40</v>
      </c>
      <c r="X1020" s="471" t="e">
        <f t="shared" si="1234"/>
        <v>#REF!</v>
      </c>
      <c r="Y1020" s="471" t="e">
        <f t="shared" si="1212"/>
        <v>#REF!</v>
      </c>
      <c r="Z1020" s="471"/>
      <c r="AA1020" s="471"/>
      <c r="AB1020" s="435"/>
    </row>
    <row r="1021" spans="1:40" s="457" customFormat="1" ht="15.75" customHeight="1" x14ac:dyDescent="0.15">
      <c r="B1021" s="473"/>
      <c r="C1021" s="474"/>
      <c r="D1021" s="484"/>
      <c r="E1021" s="476"/>
      <c r="F1021" s="473"/>
      <c r="G1021" s="490"/>
      <c r="H1021" s="463" t="str">
        <f t="shared" si="1227"/>
        <v/>
      </c>
      <c r="I1021" s="491"/>
      <c r="J1021" s="482"/>
      <c r="K1021" s="465"/>
      <c r="L1021" s="482"/>
      <c r="M1021" s="482"/>
      <c r="N1021" s="482"/>
      <c r="O1021" s="466"/>
      <c r="P1021" s="492"/>
      <c r="Q1021" s="493"/>
      <c r="R1021" s="485"/>
      <c r="S1021" s="492"/>
      <c r="T1021" s="470" t="str">
        <f t="shared" si="1228"/>
        <v/>
      </c>
      <c r="V1021" s="547"/>
      <c r="W1021" s="471">
        <f t="shared" ref="W1021:X1021" si="1235">W1020</f>
        <v>40</v>
      </c>
      <c r="X1021" s="471" t="e">
        <f t="shared" si="1235"/>
        <v>#REF!</v>
      </c>
      <c r="Y1021" s="471" t="e">
        <f t="shared" si="1212"/>
        <v>#REF!</v>
      </c>
      <c r="Z1021" s="471"/>
      <c r="AA1021" s="471"/>
      <c r="AB1021" s="435"/>
    </row>
    <row r="1022" spans="1:40" s="457" customFormat="1" ht="15.75" customHeight="1" x14ac:dyDescent="0.15">
      <c r="B1022" s="899" t="s">
        <v>375</v>
      </c>
      <c r="C1022" s="900"/>
      <c r="D1022" s="907" t="s">
        <v>356</v>
      </c>
      <c r="E1022" s="908"/>
      <c r="F1022" s="903" t="s">
        <v>803</v>
      </c>
      <c r="G1022" s="913" t="s">
        <v>804</v>
      </c>
      <c r="H1022" s="463" t="str">
        <f t="shared" si="1227"/>
        <v>단위</v>
      </c>
      <c r="I1022" s="494"/>
      <c r="J1022" s="495" t="s">
        <v>348</v>
      </c>
      <c r="K1022" s="496"/>
      <c r="L1022" s="495" t="s">
        <v>349</v>
      </c>
      <c r="M1022" s="496"/>
      <c r="N1022" s="497" t="s">
        <v>240</v>
      </c>
      <c r="O1022" s="497"/>
      <c r="P1022" s="498"/>
      <c r="Q1022" s="744" t="s">
        <v>355</v>
      </c>
      <c r="R1022" s="744"/>
      <c r="S1022" s="499"/>
      <c r="T1022" s="470" t="str">
        <f t="shared" si="1228"/>
        <v>비  고</v>
      </c>
      <c r="V1022" s="547"/>
      <c r="W1022" s="471">
        <f t="shared" ref="W1022:X1022" si="1236">W1021</f>
        <v>40</v>
      </c>
      <c r="X1022" s="471" t="e">
        <f t="shared" si="1236"/>
        <v>#REF!</v>
      </c>
      <c r="Y1022" s="471" t="e">
        <f t="shared" si="1212"/>
        <v>#REF!</v>
      </c>
      <c r="Z1022" s="471"/>
      <c r="AA1022" s="471"/>
      <c r="AB1022" s="435"/>
    </row>
    <row r="1023" spans="1:40" s="457" customFormat="1" ht="15.75" customHeight="1" x14ac:dyDescent="0.15">
      <c r="B1023" s="901"/>
      <c r="C1023" s="902"/>
      <c r="D1023" s="909"/>
      <c r="E1023" s="910"/>
      <c r="F1023" s="904"/>
      <c r="G1023" s="914"/>
      <c r="H1023" s="463" t="str">
        <f t="shared" si="1227"/>
        <v/>
      </c>
      <c r="I1023" s="500"/>
      <c r="J1023" s="501" t="s">
        <v>353</v>
      </c>
      <c r="K1023" s="501" t="s">
        <v>354</v>
      </c>
      <c r="L1023" s="501" t="s">
        <v>353</v>
      </c>
      <c r="M1023" s="502" t="s">
        <v>354</v>
      </c>
      <c r="N1023" s="501" t="s">
        <v>353</v>
      </c>
      <c r="O1023" s="501" t="s">
        <v>354</v>
      </c>
      <c r="P1023" s="503"/>
      <c r="Q1023" s="745"/>
      <c r="R1023" s="745"/>
      <c r="S1023" s="504"/>
      <c r="T1023" s="470" t="str">
        <f t="shared" si="1228"/>
        <v/>
      </c>
      <c r="V1023" s="547"/>
      <c r="W1023" s="471">
        <f t="shared" ref="W1023:X1023" si="1237">W1022</f>
        <v>40</v>
      </c>
      <c r="X1023" s="471" t="e">
        <f t="shared" si="1237"/>
        <v>#REF!</v>
      </c>
      <c r="Y1023" s="471" t="e">
        <f t="shared" si="1212"/>
        <v>#REF!</v>
      </c>
      <c r="Z1023" s="471"/>
      <c r="AA1023" s="471"/>
      <c r="AB1023" s="435"/>
    </row>
    <row r="1024" spans="1:40" s="457" customFormat="1" ht="15.75" customHeight="1" x14ac:dyDescent="0.15">
      <c r="A1024" s="547"/>
      <c r="B1024" s="95"/>
      <c r="C1024" s="140" t="s">
        <v>921</v>
      </c>
      <c r="D1024" s="95"/>
      <c r="E1024" s="141" t="s">
        <v>922</v>
      </c>
      <c r="F1024" s="96" t="s">
        <v>902</v>
      </c>
      <c r="G1024" s="505">
        <v>1.5</v>
      </c>
      <c r="H1024" s="463" t="str">
        <f t="shared" si="1227"/>
        <v>하이덴(비닐)0.01T, W:150㎝, ℓ:20mm</v>
      </c>
      <c r="I1024" s="451" t="str">
        <f>CONCATENATE(C1024,E1024,F1024)</f>
        <v>하이덴(비닐)0.01T, W:150㎝, ℓ:20mm</v>
      </c>
      <c r="J1024" s="506">
        <f>IF(OR($F1024="인",$F1024=""),"",VLOOKUP($H1024,단가!$A:$S,19,FALSE))</f>
        <v>85</v>
      </c>
      <c r="K1024" s="507">
        <f>IF(J1024="","",TRUNC($G1024*J1024,0))</f>
        <v>127</v>
      </c>
      <c r="L1024" s="506" t="str">
        <f>IF($F1024="인",VLOOKUP($C:$C,노임!$C:$G,4,FALSE),"")</f>
        <v/>
      </c>
      <c r="M1024" s="507" t="str">
        <f>IF(L1024="","",TRUNC($G1024*L1024,0))</f>
        <v/>
      </c>
      <c r="N1024" s="507"/>
      <c r="O1024" s="507" t="str">
        <f>IF(N1024="","",TRUNC($G1024*N1024,0))</f>
        <v/>
      </c>
      <c r="P1024" s="508"/>
      <c r="Q1024" s="509" t="str">
        <f>IF(F1024="인","노임"&amp;VLOOKUP($C:$C,노임!C:G,5,FALSE)&amp;"번","단가"&amp;VLOOKUP($H:$H,단가!$A:$B,2,FALSE)&amp;"번")</f>
        <v>단가82번</v>
      </c>
      <c r="R1024" s="510"/>
      <c r="S1024" s="131"/>
      <c r="T1024" s="470" t="str">
        <f t="shared" si="1228"/>
        <v>단가82번</v>
      </c>
      <c r="V1024" s="548"/>
      <c r="W1024" s="471">
        <f t="shared" ref="W1024:X1024" si="1238">W1023</f>
        <v>40</v>
      </c>
      <c r="X1024" s="471" t="e">
        <f t="shared" si="1238"/>
        <v>#REF!</v>
      </c>
      <c r="Y1024" s="471" t="e">
        <f t="shared" si="1212"/>
        <v>#REF!</v>
      </c>
      <c r="Z1024" s="471"/>
      <c r="AA1024" s="471"/>
      <c r="AB1024" s="435"/>
    </row>
    <row r="1025" spans="1:40" s="457" customFormat="1" ht="15.75" customHeight="1" x14ac:dyDescent="0.15">
      <c r="A1025" s="547"/>
      <c r="B1025" s="95"/>
      <c r="C1025" s="164" t="s">
        <v>964</v>
      </c>
      <c r="D1025" s="165"/>
      <c r="E1025" s="164" t="s">
        <v>965</v>
      </c>
      <c r="F1025" s="573" t="s">
        <v>351</v>
      </c>
      <c r="G1025" s="505">
        <v>1.5</v>
      </c>
      <c r="H1025" s="463" t="str">
        <f t="shared" si="1227"/>
        <v>카바링 테이프규격별m</v>
      </c>
      <c r="I1025" s="451" t="str">
        <f>CONCATENATE(C1025,E1025,F1025)</f>
        <v>카바링 테이프규격별m</v>
      </c>
      <c r="J1025" s="506">
        <f>IF(OR($F1025="인",$F1025=""),"",VLOOKUP($H1025,단가!$A:$S,19,FALSE))</f>
        <v>300</v>
      </c>
      <c r="K1025" s="507">
        <f>IF(J1025="","",TRUNC($G1025*J1025,0))</f>
        <v>450</v>
      </c>
      <c r="L1025" s="506" t="str">
        <f>IF($F1025="인",VLOOKUP($C:$C,노임!$C:$G,4,FALSE),"")</f>
        <v/>
      </c>
      <c r="M1025" s="507" t="str">
        <f>IF(L1025="","",TRUNC($G1025*L1025,0))</f>
        <v/>
      </c>
      <c r="N1025" s="507"/>
      <c r="O1025" s="507" t="str">
        <f>IF(N1025="","",TRUNC($G1025*N1025,0))</f>
        <v/>
      </c>
      <c r="P1025" s="508"/>
      <c r="Q1025" s="509" t="str">
        <f>IF(F1025="인","노임"&amp;VLOOKUP($C:$C,노임!C:G,5,FALSE)&amp;"번","단가"&amp;VLOOKUP($H:$H,단가!$A:$B,2,FALSE)&amp;"번")</f>
        <v>단가78번</v>
      </c>
      <c r="R1025" s="510"/>
      <c r="S1025" s="131"/>
      <c r="T1025" s="470" t="str">
        <f t="shared" si="1228"/>
        <v>단가78번</v>
      </c>
      <c r="V1025" s="548"/>
      <c r="W1025" s="471">
        <f t="shared" ref="W1025:X1025" si="1239">W1024</f>
        <v>40</v>
      </c>
      <c r="X1025" s="471" t="e">
        <f t="shared" si="1239"/>
        <v>#REF!</v>
      </c>
      <c r="Y1025" s="471" t="e">
        <f t="shared" si="1212"/>
        <v>#REF!</v>
      </c>
      <c r="Z1025" s="471"/>
      <c r="AA1025" s="471"/>
      <c r="AB1025" s="435"/>
    </row>
    <row r="1026" spans="1:40" s="457" customFormat="1" ht="15.75" customHeight="1" x14ac:dyDescent="0.15">
      <c r="A1026" s="547"/>
      <c r="B1026" s="95"/>
      <c r="C1026" s="164" t="s">
        <v>492</v>
      </c>
      <c r="D1026" s="165"/>
      <c r="E1026" s="164"/>
      <c r="F1026" s="455" t="s">
        <v>351</v>
      </c>
      <c r="G1026" s="505">
        <v>2.2000000000000002</v>
      </c>
      <c r="H1026" s="505" t="str">
        <f>CONCATENATE(C1026,E1026,F1026)</f>
        <v>석면테이프m</v>
      </c>
      <c r="I1026" s="94" t="str">
        <f>CONCATENATE(C1026,E1026,F1026)</f>
        <v>석면테이프m</v>
      </c>
      <c r="J1026" s="506">
        <f>IF(OR($F1026="인",$F1026=""),"",VLOOKUP($H1026,단가!$A:$S,19,FALSE))</f>
        <v>367</v>
      </c>
      <c r="K1026" s="507">
        <f>IF(J1026="","",TRUNC($G1026*J1026,0))</f>
        <v>807</v>
      </c>
      <c r="L1026" s="506" t="str">
        <f>IF($F1026="인",VLOOKUP($C:$C,노임!$C:$G,4,FALSE),"")</f>
        <v/>
      </c>
      <c r="M1026" s="507" t="str">
        <f>IF(L1026="","",TRUNC($G1026*L1026,0))</f>
        <v/>
      </c>
      <c r="N1026" s="507"/>
      <c r="O1026" s="507" t="str">
        <f>IF(N1026="","",TRUNC($G1026*N1026,0))</f>
        <v/>
      </c>
      <c r="P1026" s="508"/>
      <c r="Q1026" s="509" t="str">
        <f>IF(F1026="인","노임"&amp;VLOOKUP($C:$C,노임!C:G,5,FALSE)&amp;"번","단가"&amp;VLOOKUP($H:$H,단가!$A:$B,2,FALSE)&amp;"번")</f>
        <v>단가74번</v>
      </c>
      <c r="R1026" s="510"/>
      <c r="S1026" s="131"/>
      <c r="T1026" s="470" t="str">
        <f t="shared" si="1228"/>
        <v>단가74번</v>
      </c>
      <c r="V1026" s="548"/>
      <c r="W1026" s="471">
        <f t="shared" ref="W1026:X1026" si="1240">W1025</f>
        <v>40</v>
      </c>
      <c r="X1026" s="471" t="e">
        <f t="shared" si="1240"/>
        <v>#REF!</v>
      </c>
      <c r="Y1026" s="471" t="e">
        <f t="shared" si="1212"/>
        <v>#REF!</v>
      </c>
      <c r="Z1026" s="471"/>
      <c r="AA1026" s="471"/>
      <c r="AB1026" s="435"/>
    </row>
    <row r="1027" spans="1:40" s="457" customFormat="1" ht="15.75" customHeight="1" x14ac:dyDescent="0.15">
      <c r="A1027" s="547"/>
      <c r="B1027" s="95"/>
      <c r="C1027" s="140" t="s">
        <v>767</v>
      </c>
      <c r="D1027" s="95"/>
      <c r="E1027" s="141"/>
      <c r="F1027" s="96" t="s">
        <v>750</v>
      </c>
      <c r="G1027" s="505">
        <v>1.4999999999999999E-2</v>
      </c>
      <c r="H1027" s="463" t="str">
        <f>CONCATENATE(C1027,E1027,F1027)</f>
        <v>보통인부인</v>
      </c>
      <c r="I1027" s="451" t="str">
        <f>CONCATENATE(C1027,E1027,F1027)</f>
        <v>보통인부인</v>
      </c>
      <c r="J1027" s="506" t="str">
        <f>IF(OR($F1027="인",$F1027=""),"",VLOOKUP($H1027,단가!$A:$S,19,FALSE))</f>
        <v/>
      </c>
      <c r="K1027" s="507" t="str">
        <f>IF(J1027="","",TRUNC($G1027*J1027,0))</f>
        <v/>
      </c>
      <c r="L1027" s="506">
        <f>IF($F1027="인",VLOOKUP($C:$C,노임!$C:$G,4,FALSE),"")</f>
        <v>106846</v>
      </c>
      <c r="M1027" s="507">
        <f>IF(L1027="","",TRUNC($G1027*L1027,0))</f>
        <v>1602</v>
      </c>
      <c r="N1027" s="507"/>
      <c r="O1027" s="507" t="str">
        <f>IF(N1027="","",TRUNC($G1027*N1027,0))</f>
        <v/>
      </c>
      <c r="P1027" s="508"/>
      <c r="Q1027" s="509" t="str">
        <f>IF(F1027="인","노임"&amp;VLOOKUP($C:$C,노임!C:G,5,FALSE)&amp;"번","단가"&amp;VLOOKUP($H:$H,단가!$A:$B,2,FALSE)&amp;"번")</f>
        <v>노임1002번</v>
      </c>
      <c r="R1027" s="510"/>
      <c r="S1027" s="131"/>
      <c r="T1027" s="470" t="str">
        <f t="shared" si="1228"/>
        <v>노임1002번</v>
      </c>
      <c r="V1027" s="548"/>
      <c r="W1027" s="471">
        <f t="shared" ref="W1027:X1027" si="1241">W1026</f>
        <v>40</v>
      </c>
      <c r="X1027" s="471" t="e">
        <f t="shared" si="1241"/>
        <v>#REF!</v>
      </c>
      <c r="Y1027" s="471" t="e">
        <f t="shared" si="1212"/>
        <v>#REF!</v>
      </c>
      <c r="Z1027" s="471"/>
      <c r="AA1027" s="471"/>
      <c r="AB1027" s="435"/>
    </row>
    <row r="1028" spans="1:40" s="457" customFormat="1" ht="15.75" customHeight="1" x14ac:dyDescent="0.15">
      <c r="A1028" s="470"/>
      <c r="B1028" s="95"/>
      <c r="C1028" s="140"/>
      <c r="D1028" s="95"/>
      <c r="E1028" s="141"/>
      <c r="F1028" s="94"/>
      <c r="G1028" s="505"/>
      <c r="H1028" s="463" t="str">
        <f>CONCATENATE(C1028,E1028,F1028)</f>
        <v/>
      </c>
      <c r="I1028" s="451"/>
      <c r="J1028" s="506"/>
      <c r="K1028" s="507"/>
      <c r="L1028" s="506"/>
      <c r="M1028" s="507"/>
      <c r="N1028" s="507"/>
      <c r="O1028" s="507"/>
      <c r="P1028" s="508"/>
      <c r="Q1028" s="512"/>
      <c r="R1028" s="534"/>
      <c r="S1028" s="131"/>
      <c r="T1028" s="470" t="str">
        <f t="shared" si="1228"/>
        <v/>
      </c>
      <c r="U1028" s="470"/>
      <c r="V1028" s="549"/>
      <c r="W1028" s="471">
        <f t="shared" ref="W1028:X1028" si="1242">W1027</f>
        <v>40</v>
      </c>
      <c r="X1028" s="471" t="e">
        <f t="shared" si="1242"/>
        <v>#REF!</v>
      </c>
      <c r="Y1028" s="471" t="e">
        <f t="shared" si="1212"/>
        <v>#REF!</v>
      </c>
      <c r="Z1028" s="471"/>
      <c r="AA1028" s="471"/>
      <c r="AB1028" s="435"/>
      <c r="AC1028" s="470"/>
      <c r="AD1028" s="470"/>
      <c r="AE1028" s="470"/>
      <c r="AF1028" s="470"/>
      <c r="AG1028" s="470"/>
      <c r="AH1028" s="470"/>
      <c r="AI1028" s="470"/>
      <c r="AJ1028" s="470"/>
      <c r="AK1028" s="470"/>
      <c r="AL1028" s="470"/>
      <c r="AM1028" s="470"/>
      <c r="AN1028" s="470"/>
    </row>
    <row r="1029" spans="1:40" s="470" customFormat="1" ht="15.75" customHeight="1" x14ac:dyDescent="0.15">
      <c r="B1029" s="95"/>
      <c r="C1029" s="140"/>
      <c r="D1029" s="95"/>
      <c r="E1029" s="141"/>
      <c r="F1029" s="94"/>
      <c r="G1029" s="505"/>
      <c r="H1029" s="463" t="str">
        <f t="shared" si="1227"/>
        <v/>
      </c>
      <c r="I1029" s="451"/>
      <c r="J1029" s="506"/>
      <c r="K1029" s="507"/>
      <c r="L1029" s="506"/>
      <c r="M1029" s="507"/>
      <c r="N1029" s="507"/>
      <c r="O1029" s="507"/>
      <c r="P1029" s="508"/>
      <c r="Q1029" s="512"/>
      <c r="R1029" s="534"/>
      <c r="S1029" s="131"/>
      <c r="T1029" s="470" t="str">
        <f t="shared" si="1228"/>
        <v/>
      </c>
      <c r="U1029" s="457"/>
      <c r="V1029" s="549"/>
      <c r="W1029" s="471">
        <f t="shared" ref="W1029:X1029" si="1243">W1028</f>
        <v>40</v>
      </c>
      <c r="X1029" s="471" t="e">
        <f t="shared" si="1243"/>
        <v>#REF!</v>
      </c>
      <c r="Y1029" s="471" t="e">
        <f t="shared" si="1212"/>
        <v>#REF!</v>
      </c>
      <c r="Z1029" s="471"/>
      <c r="AA1029" s="471"/>
      <c r="AB1029" s="435"/>
      <c r="AF1029" s="457"/>
      <c r="AG1029" s="457"/>
      <c r="AH1029" s="457"/>
      <c r="AI1029" s="457"/>
      <c r="AJ1029" s="457"/>
      <c r="AK1029" s="457"/>
      <c r="AL1029" s="457"/>
      <c r="AM1029" s="457"/>
      <c r="AN1029" s="457"/>
    </row>
    <row r="1030" spans="1:40" s="457" customFormat="1" ht="15.75" customHeight="1" x14ac:dyDescent="0.15">
      <c r="A1030" s="470"/>
      <c r="B1030" s="95"/>
      <c r="C1030" s="140"/>
      <c r="D1030" s="95"/>
      <c r="E1030" s="141"/>
      <c r="F1030" s="94"/>
      <c r="G1030" s="505"/>
      <c r="H1030" s="463" t="str">
        <f t="shared" si="1227"/>
        <v/>
      </c>
      <c r="I1030" s="451"/>
      <c r="J1030" s="506"/>
      <c r="K1030" s="507"/>
      <c r="L1030" s="506"/>
      <c r="M1030" s="507"/>
      <c r="N1030" s="507"/>
      <c r="O1030" s="507"/>
      <c r="P1030" s="508"/>
      <c r="Q1030" s="512"/>
      <c r="R1030" s="534"/>
      <c r="S1030" s="131"/>
      <c r="T1030" s="470" t="str">
        <f t="shared" si="1228"/>
        <v/>
      </c>
      <c r="U1030" s="470"/>
      <c r="V1030" s="549"/>
      <c r="W1030" s="471">
        <f t="shared" ref="W1030:X1030" si="1244">W1029</f>
        <v>40</v>
      </c>
      <c r="X1030" s="471" t="e">
        <f t="shared" si="1244"/>
        <v>#REF!</v>
      </c>
      <c r="Y1030" s="471" t="e">
        <f t="shared" si="1212"/>
        <v>#REF!</v>
      </c>
      <c r="Z1030" s="471"/>
      <c r="AA1030" s="471"/>
      <c r="AB1030" s="435"/>
      <c r="AC1030" s="470"/>
      <c r="AD1030" s="470"/>
      <c r="AE1030" s="470"/>
      <c r="AF1030" s="470"/>
      <c r="AG1030" s="470"/>
      <c r="AH1030" s="470"/>
      <c r="AI1030" s="470"/>
      <c r="AJ1030" s="470"/>
      <c r="AK1030" s="470"/>
      <c r="AL1030" s="470"/>
      <c r="AM1030" s="470"/>
      <c r="AN1030" s="470"/>
    </row>
    <row r="1031" spans="1:40" s="470" customFormat="1" ht="15.75" customHeight="1" x14ac:dyDescent="0.15">
      <c r="B1031" s="95"/>
      <c r="C1031" s="140"/>
      <c r="D1031" s="95"/>
      <c r="E1031" s="141"/>
      <c r="F1031" s="94"/>
      <c r="G1031" s="505"/>
      <c r="H1031" s="463" t="str">
        <f t="shared" si="1227"/>
        <v/>
      </c>
      <c r="I1031" s="451"/>
      <c r="J1031" s="506"/>
      <c r="K1031" s="507"/>
      <c r="L1031" s="506"/>
      <c r="M1031" s="507"/>
      <c r="N1031" s="507"/>
      <c r="O1031" s="507"/>
      <c r="P1031" s="508"/>
      <c r="Q1031" s="512"/>
      <c r="R1031" s="534"/>
      <c r="S1031" s="131"/>
      <c r="T1031" s="470" t="str">
        <f t="shared" si="1228"/>
        <v/>
      </c>
      <c r="V1031" s="549"/>
      <c r="W1031" s="471">
        <f t="shared" ref="W1031:X1031" si="1245">W1030</f>
        <v>40</v>
      </c>
      <c r="X1031" s="471" t="e">
        <f t="shared" si="1245"/>
        <v>#REF!</v>
      </c>
      <c r="Y1031" s="471" t="e">
        <f t="shared" si="1212"/>
        <v>#REF!</v>
      </c>
      <c r="Z1031" s="471"/>
      <c r="AA1031" s="471"/>
      <c r="AB1031" s="435"/>
      <c r="AC1031" s="457"/>
    </row>
    <row r="1032" spans="1:40" s="470" customFormat="1" ht="15.75" customHeight="1" x14ac:dyDescent="0.15">
      <c r="B1032" s="95"/>
      <c r="C1032" s="140"/>
      <c r="D1032" s="95"/>
      <c r="E1032" s="141"/>
      <c r="F1032" s="94"/>
      <c r="G1032" s="505"/>
      <c r="H1032" s="463" t="str">
        <f t="shared" si="1227"/>
        <v/>
      </c>
      <c r="I1032" s="451"/>
      <c r="J1032" s="506"/>
      <c r="K1032" s="507"/>
      <c r="L1032" s="506"/>
      <c r="M1032" s="507"/>
      <c r="N1032" s="507"/>
      <c r="O1032" s="507"/>
      <c r="P1032" s="508"/>
      <c r="Q1032" s="512"/>
      <c r="R1032" s="534"/>
      <c r="S1032" s="131"/>
      <c r="T1032" s="470" t="str">
        <f t="shared" si="1228"/>
        <v/>
      </c>
      <c r="V1032" s="549"/>
      <c r="W1032" s="471">
        <f t="shared" ref="W1032:X1032" si="1246">W1031</f>
        <v>40</v>
      </c>
      <c r="X1032" s="471" t="e">
        <f t="shared" si="1246"/>
        <v>#REF!</v>
      </c>
      <c r="Y1032" s="471" t="e">
        <f t="shared" si="1212"/>
        <v>#REF!</v>
      </c>
      <c r="Z1032" s="471"/>
      <c r="AA1032" s="471"/>
      <c r="AB1032" s="435"/>
    </row>
    <row r="1033" spans="1:40" s="470" customFormat="1" ht="15.75" customHeight="1" x14ac:dyDescent="0.15">
      <c r="B1033" s="95"/>
      <c r="C1033" s="140"/>
      <c r="D1033" s="95"/>
      <c r="E1033" s="141"/>
      <c r="F1033" s="94"/>
      <c r="G1033" s="505"/>
      <c r="H1033" s="463" t="str">
        <f t="shared" si="1227"/>
        <v/>
      </c>
      <c r="I1033" s="451"/>
      <c r="J1033" s="506"/>
      <c r="K1033" s="507"/>
      <c r="L1033" s="506"/>
      <c r="M1033" s="507"/>
      <c r="N1033" s="507"/>
      <c r="O1033" s="507"/>
      <c r="P1033" s="508"/>
      <c r="Q1033" s="512"/>
      <c r="R1033" s="534"/>
      <c r="S1033" s="131"/>
      <c r="T1033" s="470" t="str">
        <f t="shared" si="1228"/>
        <v/>
      </c>
      <c r="V1033" s="549"/>
      <c r="W1033" s="471">
        <f t="shared" ref="W1033:X1033" si="1247">W1032</f>
        <v>40</v>
      </c>
      <c r="X1033" s="471" t="e">
        <f t="shared" si="1247"/>
        <v>#REF!</v>
      </c>
      <c r="Y1033" s="471" t="e">
        <f t="shared" si="1212"/>
        <v>#REF!</v>
      </c>
      <c r="Z1033" s="471"/>
      <c r="AA1033" s="471"/>
      <c r="AB1033" s="435"/>
    </row>
    <row r="1034" spans="1:40" s="470" customFormat="1" ht="15.75" customHeight="1" x14ac:dyDescent="0.15">
      <c r="B1034" s="95"/>
      <c r="C1034" s="140"/>
      <c r="D1034" s="95"/>
      <c r="E1034" s="141"/>
      <c r="F1034" s="94"/>
      <c r="G1034" s="505"/>
      <c r="H1034" s="463" t="str">
        <f t="shared" si="1227"/>
        <v/>
      </c>
      <c r="I1034" s="451"/>
      <c r="J1034" s="506"/>
      <c r="K1034" s="507"/>
      <c r="L1034" s="506"/>
      <c r="M1034" s="507"/>
      <c r="N1034" s="507"/>
      <c r="O1034" s="507"/>
      <c r="P1034" s="508"/>
      <c r="Q1034" s="512"/>
      <c r="R1034" s="534"/>
      <c r="S1034" s="131"/>
      <c r="T1034" s="470" t="str">
        <f t="shared" ref="T1034:T1067" si="1248">CONCATENATE(Q1034,R1034)</f>
        <v/>
      </c>
      <c r="V1034" s="549"/>
      <c r="W1034" s="471">
        <f t="shared" ref="W1034:X1034" si="1249">W1033</f>
        <v>40</v>
      </c>
      <c r="X1034" s="471" t="e">
        <f t="shared" si="1249"/>
        <v>#REF!</v>
      </c>
      <c r="Y1034" s="471" t="e">
        <f t="shared" si="1212"/>
        <v>#REF!</v>
      </c>
      <c r="Z1034" s="471"/>
      <c r="AA1034" s="471"/>
      <c r="AB1034" s="435"/>
      <c r="AC1034" s="457"/>
    </row>
    <row r="1035" spans="1:40" s="470" customFormat="1" ht="15.75" customHeight="1" x14ac:dyDescent="0.15">
      <c r="B1035" s="95"/>
      <c r="C1035" s="140"/>
      <c r="D1035" s="95"/>
      <c r="E1035" s="141"/>
      <c r="F1035" s="94"/>
      <c r="G1035" s="505"/>
      <c r="H1035" s="463" t="str">
        <f t="shared" si="1227"/>
        <v/>
      </c>
      <c r="I1035" s="451"/>
      <c r="J1035" s="506"/>
      <c r="K1035" s="507"/>
      <c r="L1035" s="506"/>
      <c r="M1035" s="507"/>
      <c r="N1035" s="507"/>
      <c r="O1035" s="507"/>
      <c r="P1035" s="508"/>
      <c r="Q1035" s="512"/>
      <c r="R1035" s="534"/>
      <c r="S1035" s="131"/>
      <c r="T1035" s="470" t="str">
        <f t="shared" si="1248"/>
        <v/>
      </c>
      <c r="V1035" s="549"/>
      <c r="W1035" s="471">
        <f t="shared" ref="W1035:X1035" si="1250">W1034</f>
        <v>40</v>
      </c>
      <c r="X1035" s="471" t="e">
        <f t="shared" si="1250"/>
        <v>#REF!</v>
      </c>
      <c r="Y1035" s="471" t="e">
        <f t="shared" si="1212"/>
        <v>#REF!</v>
      </c>
      <c r="Z1035" s="471"/>
      <c r="AA1035" s="471"/>
      <c r="AB1035" s="435"/>
    </row>
    <row r="1036" spans="1:40" s="470" customFormat="1" ht="15.75" customHeight="1" x14ac:dyDescent="0.15">
      <c r="B1036" s="95"/>
      <c r="C1036" s="140"/>
      <c r="D1036" s="95"/>
      <c r="E1036" s="141"/>
      <c r="F1036" s="94"/>
      <c r="G1036" s="505"/>
      <c r="H1036" s="463" t="str">
        <f t="shared" si="1227"/>
        <v/>
      </c>
      <c r="I1036" s="451"/>
      <c r="J1036" s="506"/>
      <c r="K1036" s="507"/>
      <c r="L1036" s="506"/>
      <c r="M1036" s="507"/>
      <c r="N1036" s="507"/>
      <c r="O1036" s="507"/>
      <c r="P1036" s="508"/>
      <c r="Q1036" s="512"/>
      <c r="R1036" s="534"/>
      <c r="S1036" s="131"/>
      <c r="T1036" s="470" t="str">
        <f t="shared" si="1248"/>
        <v/>
      </c>
      <c r="V1036" s="549"/>
      <c r="W1036" s="471">
        <f t="shared" ref="W1036:X1036" si="1251">W1035</f>
        <v>40</v>
      </c>
      <c r="X1036" s="471" t="e">
        <f t="shared" si="1251"/>
        <v>#REF!</v>
      </c>
      <c r="Y1036" s="471" t="e">
        <f t="shared" si="1212"/>
        <v>#REF!</v>
      </c>
      <c r="Z1036" s="471"/>
      <c r="AA1036" s="471"/>
      <c r="AB1036" s="435"/>
    </row>
    <row r="1037" spans="1:40" s="470" customFormat="1" ht="15.75" customHeight="1" x14ac:dyDescent="0.15">
      <c r="B1037" s="95"/>
      <c r="C1037" s="140"/>
      <c r="D1037" s="95"/>
      <c r="E1037" s="141"/>
      <c r="F1037" s="94"/>
      <c r="G1037" s="505"/>
      <c r="H1037" s="463" t="str">
        <f t="shared" si="1227"/>
        <v/>
      </c>
      <c r="I1037" s="451"/>
      <c r="J1037" s="506"/>
      <c r="K1037" s="507"/>
      <c r="L1037" s="506"/>
      <c r="M1037" s="507"/>
      <c r="N1037" s="507"/>
      <c r="O1037" s="507"/>
      <c r="P1037" s="508"/>
      <c r="Q1037" s="512"/>
      <c r="R1037" s="513"/>
      <c r="S1037" s="131"/>
      <c r="T1037" s="470" t="str">
        <f t="shared" si="1248"/>
        <v/>
      </c>
      <c r="V1037" s="549"/>
      <c r="W1037" s="471">
        <f t="shared" ref="W1037:X1037" si="1252">W1036</f>
        <v>40</v>
      </c>
      <c r="X1037" s="471" t="e">
        <f t="shared" si="1252"/>
        <v>#REF!</v>
      </c>
      <c r="Y1037" s="471" t="e">
        <f t="shared" si="1212"/>
        <v>#REF!</v>
      </c>
      <c r="Z1037" s="471"/>
      <c r="AA1037" s="471"/>
      <c r="AB1037" s="435"/>
    </row>
    <row r="1038" spans="1:40" s="470" customFormat="1" ht="15.75" customHeight="1" x14ac:dyDescent="0.15">
      <c r="B1038" s="514" t="s">
        <v>751</v>
      </c>
      <c r="C1038" s="515"/>
      <c r="D1038" s="516"/>
      <c r="E1038" s="517"/>
      <c r="F1038" s="518"/>
      <c r="G1038" s="519"/>
      <c r="H1038" s="463" t="str">
        <f t="shared" si="1227"/>
        <v/>
      </c>
      <c r="I1038" s="520">
        <f>목록!$B$46</f>
        <v>40</v>
      </c>
      <c r="J1038" s="521"/>
      <c r="K1038" s="522">
        <f>SUM(K1024:K1037)</f>
        <v>1384</v>
      </c>
      <c r="L1038" s="521"/>
      <c r="M1038" s="522">
        <f>SUM(M1024:M1037)</f>
        <v>1602</v>
      </c>
      <c r="N1038" s="521"/>
      <c r="O1038" s="522">
        <f>SUM(O1024:O1037)</f>
        <v>0</v>
      </c>
      <c r="P1038" s="523"/>
      <c r="Q1038" s="512"/>
      <c r="R1038" s="513"/>
      <c r="S1038" s="524"/>
      <c r="T1038" s="470" t="str">
        <f t="shared" si="1248"/>
        <v/>
      </c>
      <c r="V1038" s="549"/>
      <c r="W1038" s="471">
        <f t="shared" ref="W1038:X1038" si="1253">W1037</f>
        <v>40</v>
      </c>
      <c r="X1038" s="471" t="e">
        <f t="shared" si="1253"/>
        <v>#REF!</v>
      </c>
      <c r="Y1038" s="471" t="e">
        <f t="shared" si="1212"/>
        <v>#REF!</v>
      </c>
      <c r="Z1038" s="471"/>
      <c r="AA1038" s="471"/>
      <c r="AB1038" s="435"/>
    </row>
    <row r="1039" spans="1:40" s="470" customFormat="1" ht="15.75" customHeight="1" x14ac:dyDescent="0.15">
      <c r="B1039" s="453"/>
      <c r="C1039" s="209"/>
      <c r="D1039" s="95"/>
      <c r="E1039" s="141"/>
      <c r="F1039" s="94"/>
      <c r="G1039" s="505"/>
      <c r="H1039" s="463" t="str">
        <f t="shared" si="1227"/>
        <v/>
      </c>
      <c r="I1039" s="451"/>
      <c r="J1039" s="506"/>
      <c r="K1039" s="507"/>
      <c r="L1039" s="506"/>
      <c r="M1039" s="507"/>
      <c r="N1039" s="507"/>
      <c r="O1039" s="507"/>
      <c r="P1039" s="508"/>
      <c r="Q1039" s="512"/>
      <c r="R1039" s="513"/>
      <c r="S1039" s="131"/>
      <c r="T1039" s="470" t="str">
        <f t="shared" si="1248"/>
        <v/>
      </c>
      <c r="V1039" s="549"/>
      <c r="W1039" s="615">
        <f t="shared" ref="W1039:X1039" si="1254">W1038</f>
        <v>40</v>
      </c>
      <c r="X1039" s="471" t="e">
        <f t="shared" si="1254"/>
        <v>#REF!</v>
      </c>
      <c r="Y1039" s="471" t="e">
        <f t="shared" si="1212"/>
        <v>#REF!</v>
      </c>
      <c r="Z1039" s="471"/>
      <c r="AA1039" s="471"/>
      <c r="AB1039" s="435"/>
    </row>
    <row r="1040" spans="1:40" s="470" customFormat="1" ht="15.75" customHeight="1" x14ac:dyDescent="0.15">
      <c r="A1040" s="457"/>
      <c r="B1040" s="453"/>
      <c r="C1040" s="209"/>
      <c r="D1040" s="95"/>
      <c r="E1040" s="141"/>
      <c r="F1040" s="94"/>
      <c r="G1040" s="505"/>
      <c r="H1040" s="463" t="str">
        <f t="shared" si="1227"/>
        <v/>
      </c>
      <c r="I1040" s="451"/>
      <c r="J1040" s="506"/>
      <c r="K1040" s="507"/>
      <c r="L1040" s="506"/>
      <c r="M1040" s="507"/>
      <c r="N1040" s="507"/>
      <c r="O1040" s="507"/>
      <c r="P1040" s="508"/>
      <c r="Q1040" s="512"/>
      <c r="R1040" s="513"/>
      <c r="S1040" s="131"/>
      <c r="T1040" s="470" t="str">
        <f t="shared" si="1248"/>
        <v/>
      </c>
      <c r="V1040" s="551"/>
      <c r="W1040" s="471">
        <f t="shared" ref="W1040:X1040" si="1255">W1039</f>
        <v>40</v>
      </c>
      <c r="X1040" s="471" t="e">
        <f t="shared" si="1255"/>
        <v>#REF!</v>
      </c>
      <c r="Y1040" s="471" t="e">
        <f t="shared" si="1212"/>
        <v>#REF!</v>
      </c>
      <c r="Z1040" s="471"/>
      <c r="AA1040" s="471"/>
      <c r="AB1040" s="435"/>
    </row>
    <row r="1041" spans="1:40" s="470" customFormat="1" ht="15.75" customHeight="1" x14ac:dyDescent="0.15">
      <c r="B1041" s="514"/>
      <c r="C1041" s="209"/>
      <c r="D1041" s="516"/>
      <c r="E1041" s="517"/>
      <c r="F1041" s="518"/>
      <c r="G1041" s="519"/>
      <c r="H1041" s="463" t="str">
        <f t="shared" si="1227"/>
        <v/>
      </c>
      <c r="I1041" s="520"/>
      <c r="J1041" s="521"/>
      <c r="K1041" s="522"/>
      <c r="L1041" s="521"/>
      <c r="M1041" s="522"/>
      <c r="N1041" s="521"/>
      <c r="O1041" s="522"/>
      <c r="P1041" s="523"/>
      <c r="Q1041" s="512"/>
      <c r="R1041" s="513"/>
      <c r="S1041" s="524"/>
      <c r="T1041" s="470" t="str">
        <f t="shared" si="1248"/>
        <v/>
      </c>
      <c r="U1041" s="457"/>
      <c r="W1041" s="471">
        <f t="shared" ref="W1041:X1041" si="1256">W1040</f>
        <v>40</v>
      </c>
      <c r="X1041" s="471" t="e">
        <f t="shared" si="1256"/>
        <v>#REF!</v>
      </c>
      <c r="Y1041" s="471" t="e">
        <f t="shared" si="1212"/>
        <v>#REF!</v>
      </c>
      <c r="Z1041" s="471"/>
      <c r="AA1041" s="471"/>
      <c r="AB1041" s="435"/>
      <c r="AC1041" s="457"/>
      <c r="AF1041" s="457"/>
      <c r="AG1041" s="457"/>
      <c r="AH1041" s="457"/>
      <c r="AI1041" s="457"/>
      <c r="AJ1041" s="457"/>
      <c r="AK1041" s="457"/>
      <c r="AL1041" s="457"/>
      <c r="AM1041" s="457"/>
      <c r="AN1041" s="457"/>
    </row>
    <row r="1042" spans="1:40" s="457" customFormat="1" ht="15.75" customHeight="1" x14ac:dyDescent="0.15">
      <c r="A1042" s="470"/>
      <c r="C1042" s="458"/>
      <c r="D1042" s="459"/>
      <c r="E1042" s="460"/>
      <c r="F1042" s="461"/>
      <c r="G1042" s="462"/>
      <c r="H1042" s="463" t="str">
        <f t="shared" si="1227"/>
        <v/>
      </c>
      <c r="I1042" s="464"/>
      <c r="J1042" s="465"/>
      <c r="K1042" s="465"/>
      <c r="L1042" s="465"/>
      <c r="M1042" s="465"/>
      <c r="N1042" s="465"/>
      <c r="O1042" s="466"/>
      <c r="P1042" s="467"/>
      <c r="Q1042" s="468"/>
      <c r="R1042" s="469"/>
      <c r="S1042" s="467"/>
      <c r="T1042" s="470" t="str">
        <f t="shared" si="1248"/>
        <v/>
      </c>
      <c r="U1042" s="470"/>
      <c r="V1042" s="470"/>
      <c r="W1042" s="533">
        <f t="shared" ref="W1042" si="1257">I1064</f>
        <v>41</v>
      </c>
      <c r="X1042" s="533" t="e">
        <f t="shared" ref="X1042" si="1258">X1041+1</f>
        <v>#REF!</v>
      </c>
      <c r="Y1042" s="533" t="e">
        <f t="shared" si="1212"/>
        <v>#REF!</v>
      </c>
      <c r="Z1042" s="533"/>
      <c r="AA1042" s="533"/>
      <c r="AB1042" s="435"/>
      <c r="AC1042" s="470"/>
      <c r="AD1042" s="470"/>
      <c r="AE1042" s="470"/>
      <c r="AF1042" s="470"/>
      <c r="AG1042" s="470"/>
      <c r="AH1042" s="470"/>
      <c r="AI1042" s="470"/>
      <c r="AJ1042" s="470"/>
      <c r="AK1042" s="470"/>
      <c r="AL1042" s="470"/>
      <c r="AM1042" s="470"/>
      <c r="AN1042" s="470"/>
    </row>
    <row r="1043" spans="1:40" s="470" customFormat="1" ht="15.75" customHeight="1" x14ac:dyDescent="0.15">
      <c r="A1043" s="457"/>
      <c r="B1043" s="473"/>
      <c r="C1043" s="474" t="str">
        <f>"   항목번호 : "&amp;목록!L$47</f>
        <v xml:space="preserve">   항목번호 : 제41호표</v>
      </c>
      <c r="D1043" s="475">
        <f>목록!B$47</f>
        <v>41</v>
      </c>
      <c r="E1043" s="476"/>
      <c r="F1043" s="477"/>
      <c r="G1043" s="478"/>
      <c r="H1043" s="463" t="str">
        <f t="shared" si="1227"/>
        <v xml:space="preserve">   항목번호 : 제41호표</v>
      </c>
      <c r="I1043" s="479"/>
      <c r="J1043" s="480"/>
      <c r="K1043" s="481"/>
      <c r="L1043" s="482"/>
      <c r="M1043" s="482"/>
      <c r="N1043" s="482"/>
      <c r="O1043" s="466"/>
      <c r="P1043" s="483"/>
      <c r="Q1043" s="484"/>
      <c r="R1043" s="485"/>
      <c r="S1043" s="483"/>
      <c r="T1043" s="470" t="str">
        <f t="shared" si="1248"/>
        <v/>
      </c>
      <c r="V1043" s="551"/>
      <c r="W1043" s="471">
        <f t="shared" ref="W1043:X1043" si="1259">W1042</f>
        <v>41</v>
      </c>
      <c r="X1043" s="471" t="e">
        <f t="shared" si="1259"/>
        <v>#REF!</v>
      </c>
      <c r="Y1043" s="471" t="e">
        <f t="shared" si="1212"/>
        <v>#REF!</v>
      </c>
      <c r="Z1043" s="471"/>
      <c r="AA1043" s="471"/>
      <c r="AB1043" s="435"/>
    </row>
    <row r="1044" spans="1:40" s="470" customFormat="1" ht="15.75" customHeight="1" x14ac:dyDescent="0.15">
      <c r="A1044" s="457"/>
      <c r="B1044" s="473"/>
      <c r="C1044" s="474" t="str">
        <f>"   공      종 : "&amp;목록!D$47</f>
        <v xml:space="preserve">   공      종 : 녹막이페인트</v>
      </c>
      <c r="D1044" s="484"/>
      <c r="E1044" s="476"/>
      <c r="F1044" s="473"/>
      <c r="G1044" s="478"/>
      <c r="H1044" s="463" t="str">
        <f t="shared" si="1227"/>
        <v xml:space="preserve">   공      종 : 녹막이페인트</v>
      </c>
      <c r="I1044" s="479"/>
      <c r="J1044" s="480"/>
      <c r="K1044" s="481"/>
      <c r="L1044" s="482"/>
      <c r="M1044" s="482"/>
      <c r="N1044" s="482"/>
      <c r="O1044" s="466"/>
      <c r="P1044" s="483"/>
      <c r="Q1044" s="484"/>
      <c r="R1044" s="485"/>
      <c r="S1044" s="483"/>
      <c r="T1044" s="470" t="str">
        <f t="shared" si="1248"/>
        <v/>
      </c>
      <c r="U1044" s="457"/>
      <c r="W1044" s="471">
        <f t="shared" ref="W1044:X1044" si="1260">W1043</f>
        <v>41</v>
      </c>
      <c r="X1044" s="471" t="e">
        <f t="shared" si="1260"/>
        <v>#REF!</v>
      </c>
      <c r="Y1044" s="471" t="e">
        <f t="shared" si="1212"/>
        <v>#REF!</v>
      </c>
      <c r="Z1044" s="471"/>
      <c r="AA1044" s="471"/>
      <c r="AB1044" s="435"/>
      <c r="AC1044" s="457"/>
      <c r="AD1044" s="457"/>
      <c r="AE1044" s="457"/>
      <c r="AF1044" s="457"/>
      <c r="AG1044" s="457"/>
      <c r="AH1044" s="457"/>
      <c r="AI1044" s="457"/>
      <c r="AJ1044" s="457"/>
      <c r="AK1044" s="457"/>
      <c r="AL1044" s="457"/>
      <c r="AM1044" s="457"/>
      <c r="AN1044" s="457"/>
    </row>
    <row r="1045" spans="1:40" s="457" customFormat="1" ht="15.75" customHeight="1" x14ac:dyDescent="0.15">
      <c r="B1045" s="473"/>
      <c r="C1045" s="474" t="str">
        <f xml:space="preserve"> "   규      격 : "&amp;목록!F$47</f>
        <v xml:space="preserve">   규      격 : 벽체2회</v>
      </c>
      <c r="D1045" s="484"/>
      <c r="E1045" s="476"/>
      <c r="F1045" s="473"/>
      <c r="G1045" s="478"/>
      <c r="H1045" s="463" t="str">
        <f t="shared" si="1227"/>
        <v xml:space="preserve">   규      격 : 벽체2회</v>
      </c>
      <c r="I1045" s="479"/>
      <c r="J1045" s="480" t="s">
        <v>348</v>
      </c>
      <c r="K1045" s="481"/>
      <c r="L1045" s="482" t="s">
        <v>349</v>
      </c>
      <c r="M1045" s="482"/>
      <c r="N1045" s="482" t="s">
        <v>240</v>
      </c>
      <c r="O1045" s="466"/>
      <c r="P1045" s="483"/>
      <c r="Q1045" s="484" t="s">
        <v>752</v>
      </c>
      <c r="R1045" s="484"/>
      <c r="S1045" s="483"/>
      <c r="T1045" s="470" t="str">
        <f t="shared" si="1248"/>
        <v>합계</v>
      </c>
      <c r="V1045" s="547"/>
      <c r="W1045" s="471">
        <f t="shared" ref="W1045:X1045" si="1261">W1044</f>
        <v>41</v>
      </c>
      <c r="X1045" s="471" t="e">
        <f t="shared" si="1261"/>
        <v>#REF!</v>
      </c>
      <c r="Y1045" s="471" t="e">
        <f t="shared" si="1212"/>
        <v>#REF!</v>
      </c>
      <c r="Z1045" s="471"/>
      <c r="AA1045" s="471"/>
      <c r="AB1045" s="435"/>
    </row>
    <row r="1046" spans="1:40" s="457" customFormat="1" ht="15.75" customHeight="1" x14ac:dyDescent="0.15">
      <c r="B1046" s="473"/>
      <c r="C1046" s="474" t="str">
        <f>"   단      위 : "&amp;목록!G$47</f>
        <v xml:space="preserve">   단      위 : ㎡</v>
      </c>
      <c r="D1046" s="484"/>
      <c r="E1046" s="476"/>
      <c r="F1046" s="473"/>
      <c r="G1046" s="478"/>
      <c r="H1046" s="463" t="str">
        <f t="shared" si="1227"/>
        <v xml:space="preserve">   단      위 : ㎡</v>
      </c>
      <c r="I1046" s="479"/>
      <c r="J1046" s="486">
        <f>K1064</f>
        <v>1010</v>
      </c>
      <c r="K1046" s="481"/>
      <c r="L1046" s="487">
        <f>M1064</f>
        <v>5100</v>
      </c>
      <c r="M1046" s="482"/>
      <c r="N1046" s="482">
        <f>O1064</f>
        <v>0</v>
      </c>
      <c r="O1046" s="466"/>
      <c r="P1046" s="483"/>
      <c r="Q1046" s="488">
        <f>J1046+L1046+N1046</f>
        <v>6110</v>
      </c>
      <c r="R1046" s="489"/>
      <c r="S1046" s="483"/>
      <c r="T1046" s="470" t="str">
        <f t="shared" si="1248"/>
        <v>6110</v>
      </c>
      <c r="V1046" s="547"/>
      <c r="W1046" s="471">
        <f t="shared" ref="W1046:X1046" si="1262">W1045</f>
        <v>41</v>
      </c>
      <c r="X1046" s="471" t="e">
        <f t="shared" si="1262"/>
        <v>#REF!</v>
      </c>
      <c r="Y1046" s="471" t="e">
        <f t="shared" si="1212"/>
        <v>#REF!</v>
      </c>
      <c r="Z1046" s="471"/>
      <c r="AA1046" s="471"/>
      <c r="AB1046" s="435"/>
    </row>
    <row r="1047" spans="1:40" s="457" customFormat="1" ht="15.75" customHeight="1" x14ac:dyDescent="0.15">
      <c r="B1047" s="473"/>
      <c r="C1047" s="474"/>
      <c r="D1047" s="484"/>
      <c r="E1047" s="476"/>
      <c r="F1047" s="473"/>
      <c r="G1047" s="490"/>
      <c r="H1047" s="463" t="str">
        <f t="shared" si="1227"/>
        <v/>
      </c>
      <c r="I1047" s="491"/>
      <c r="J1047" s="482"/>
      <c r="K1047" s="465"/>
      <c r="L1047" s="482"/>
      <c r="M1047" s="482"/>
      <c r="N1047" s="482"/>
      <c r="O1047" s="466"/>
      <c r="P1047" s="492"/>
      <c r="Q1047" s="493"/>
      <c r="R1047" s="485"/>
      <c r="S1047" s="492"/>
      <c r="T1047" s="470" t="str">
        <f t="shared" si="1248"/>
        <v/>
      </c>
      <c r="V1047" s="547"/>
      <c r="W1047" s="471">
        <f t="shared" ref="W1047:X1047" si="1263">W1046</f>
        <v>41</v>
      </c>
      <c r="X1047" s="471" t="e">
        <f t="shared" si="1263"/>
        <v>#REF!</v>
      </c>
      <c r="Y1047" s="471" t="e">
        <f t="shared" si="1212"/>
        <v>#REF!</v>
      </c>
      <c r="Z1047" s="471"/>
      <c r="AA1047" s="471"/>
      <c r="AB1047" s="435"/>
    </row>
    <row r="1048" spans="1:40" s="457" customFormat="1" ht="15.75" customHeight="1" x14ac:dyDescent="0.15">
      <c r="B1048" s="899" t="s">
        <v>375</v>
      </c>
      <c r="C1048" s="900"/>
      <c r="D1048" s="907" t="s">
        <v>356</v>
      </c>
      <c r="E1048" s="908"/>
      <c r="F1048" s="903" t="s">
        <v>806</v>
      </c>
      <c r="G1048" s="913" t="s">
        <v>807</v>
      </c>
      <c r="H1048" s="463" t="str">
        <f t="shared" ref="H1048:H1067" si="1264">CONCATENATE(C1048,E1048,F1048)</f>
        <v>단위</v>
      </c>
      <c r="I1048" s="494"/>
      <c r="J1048" s="495" t="s">
        <v>348</v>
      </c>
      <c r="K1048" s="496"/>
      <c r="L1048" s="495" t="s">
        <v>349</v>
      </c>
      <c r="M1048" s="496"/>
      <c r="N1048" s="497" t="s">
        <v>240</v>
      </c>
      <c r="O1048" s="497"/>
      <c r="P1048" s="498"/>
      <c r="Q1048" s="744" t="s">
        <v>355</v>
      </c>
      <c r="R1048" s="744"/>
      <c r="S1048" s="499"/>
      <c r="T1048" s="470" t="str">
        <f t="shared" si="1248"/>
        <v>비  고</v>
      </c>
      <c r="V1048" s="547"/>
      <c r="W1048" s="471">
        <f t="shared" ref="W1048:X1048" si="1265">W1047</f>
        <v>41</v>
      </c>
      <c r="X1048" s="471" t="e">
        <f t="shared" si="1265"/>
        <v>#REF!</v>
      </c>
      <c r="Y1048" s="471" t="e">
        <f t="shared" si="1212"/>
        <v>#REF!</v>
      </c>
      <c r="Z1048" s="471"/>
      <c r="AA1048" s="471"/>
      <c r="AB1048" s="435"/>
    </row>
    <row r="1049" spans="1:40" s="457" customFormat="1" ht="15.75" customHeight="1" x14ac:dyDescent="0.15">
      <c r="B1049" s="901"/>
      <c r="C1049" s="902"/>
      <c r="D1049" s="909"/>
      <c r="E1049" s="910"/>
      <c r="F1049" s="904"/>
      <c r="G1049" s="914"/>
      <c r="H1049" s="463" t="str">
        <f t="shared" si="1264"/>
        <v/>
      </c>
      <c r="I1049" s="500"/>
      <c r="J1049" s="501" t="s">
        <v>353</v>
      </c>
      <c r="K1049" s="501" t="s">
        <v>354</v>
      </c>
      <c r="L1049" s="501" t="s">
        <v>353</v>
      </c>
      <c r="M1049" s="502" t="s">
        <v>354</v>
      </c>
      <c r="N1049" s="501" t="s">
        <v>353</v>
      </c>
      <c r="O1049" s="501" t="s">
        <v>354</v>
      </c>
      <c r="P1049" s="503"/>
      <c r="Q1049" s="745"/>
      <c r="R1049" s="745"/>
      <c r="S1049" s="504"/>
      <c r="T1049" s="470" t="str">
        <f t="shared" si="1248"/>
        <v/>
      </c>
      <c r="V1049" s="547"/>
      <c r="W1049" s="471">
        <f t="shared" ref="W1049:X1049" si="1266">W1048</f>
        <v>41</v>
      </c>
      <c r="X1049" s="471" t="e">
        <f t="shared" si="1266"/>
        <v>#REF!</v>
      </c>
      <c r="Y1049" s="471" t="e">
        <f t="shared" si="1212"/>
        <v>#REF!</v>
      </c>
      <c r="Z1049" s="471"/>
      <c r="AA1049" s="471"/>
      <c r="AB1049" s="435"/>
    </row>
    <row r="1050" spans="1:40" s="457" customFormat="1" ht="15.75" customHeight="1" x14ac:dyDescent="0.15">
      <c r="A1050" s="547"/>
      <c r="B1050" s="95"/>
      <c r="C1050" s="193" t="s">
        <v>359</v>
      </c>
      <c r="D1050" s="205"/>
      <c r="E1050" s="206" t="s">
        <v>923</v>
      </c>
      <c r="F1050" s="207" t="s">
        <v>360</v>
      </c>
      <c r="G1050" s="505">
        <v>0.161</v>
      </c>
      <c r="H1050" s="463" t="str">
        <f t="shared" si="1264"/>
        <v>녹막이페인트KSM6030 1종, 2류ℓ</v>
      </c>
      <c r="I1050" s="451" t="str">
        <f>CONCATENATE(C1050,E1050,F1050)</f>
        <v>녹막이페인트KSM6030 1종, 2류ℓ</v>
      </c>
      <c r="J1050" s="506">
        <f>IF(OR($F1050="인",$F1050=""),"",VLOOKUP($H1050,단가!$A:$S,19,FALSE))</f>
        <v>6010</v>
      </c>
      <c r="K1050" s="507">
        <f>IF(J1050="","",TRUNC($G1050*J1050,0))</f>
        <v>967</v>
      </c>
      <c r="L1050" s="506" t="str">
        <f>IF($F1050="인",VLOOKUP($C:$C,노임!$C:$G,4,FALSE),"")</f>
        <v/>
      </c>
      <c r="M1050" s="507" t="str">
        <f>IF(L1050="","",TRUNC($G1050*L1050,0))</f>
        <v/>
      </c>
      <c r="N1050" s="507"/>
      <c r="O1050" s="507" t="str">
        <f>IF(N1050="","",TRUNC($G1050*N1050,0))</f>
        <v/>
      </c>
      <c r="P1050" s="508"/>
      <c r="Q1050" s="509" t="str">
        <f>IF(F1050="인","노임"&amp;VLOOKUP($C:$C,노임!C:G,5,FALSE)&amp;"번","단가"&amp;VLOOKUP($H:$H,단가!$A:$B,2,FALSE)&amp;"번")</f>
        <v>단가29번</v>
      </c>
      <c r="R1050" s="510"/>
      <c r="S1050" s="131"/>
      <c r="T1050" s="470" t="str">
        <f t="shared" si="1248"/>
        <v>단가29번</v>
      </c>
      <c r="V1050" s="548"/>
      <c r="W1050" s="471">
        <f t="shared" ref="W1050:X1050" si="1267">W1049</f>
        <v>41</v>
      </c>
      <c r="X1050" s="471" t="e">
        <f t="shared" si="1267"/>
        <v>#REF!</v>
      </c>
      <c r="Y1050" s="471" t="e">
        <f t="shared" si="1212"/>
        <v>#REF!</v>
      </c>
      <c r="Z1050" s="471"/>
      <c r="AA1050" s="471"/>
      <c r="AB1050" s="435"/>
    </row>
    <row r="1051" spans="1:40" s="457" customFormat="1" ht="15.75" customHeight="1" x14ac:dyDescent="0.15">
      <c r="A1051" s="547"/>
      <c r="B1051" s="95"/>
      <c r="C1051" s="192" t="s">
        <v>924</v>
      </c>
      <c r="D1051" s="205"/>
      <c r="E1051" s="565" t="s">
        <v>925</v>
      </c>
      <c r="F1051" s="207" t="s">
        <v>360</v>
      </c>
      <c r="G1051" s="505">
        <v>8.0000000000000002E-3</v>
      </c>
      <c r="H1051" s="463" t="str">
        <f t="shared" si="1264"/>
        <v>신너KSM6060-2ℓ</v>
      </c>
      <c r="I1051" s="451" t="str">
        <f>CONCATENATE(C1051,E1051,F1051)</f>
        <v>신너KSM6060-2ℓ</v>
      </c>
      <c r="J1051" s="506">
        <f>IF(OR($F1051="인",$F1051=""),"",VLOOKUP($H1051,단가!$A:$S,19,FALSE))</f>
        <v>1780</v>
      </c>
      <c r="K1051" s="507">
        <f>IF(J1051="","",TRUNC($G1051*J1051,0))</f>
        <v>14</v>
      </c>
      <c r="L1051" s="506" t="str">
        <f>IF($F1051="인",VLOOKUP($C:$C,노임!$C:$G,4,FALSE),"")</f>
        <v/>
      </c>
      <c r="M1051" s="507" t="str">
        <f>IF(L1051="","",TRUNC($G1051*L1051,0))</f>
        <v/>
      </c>
      <c r="N1051" s="507"/>
      <c r="O1051" s="507" t="str">
        <f>IF(N1051="","",TRUNC($G1051*N1051,0))</f>
        <v/>
      </c>
      <c r="P1051" s="508"/>
      <c r="Q1051" s="509" t="str">
        <f>IF(F1051="인","노임"&amp;VLOOKUP($C:$C,노임!C:G,5,FALSE)&amp;"번","단가"&amp;VLOOKUP($H:$H,단가!$A:$B,2,FALSE)&amp;"번")</f>
        <v>단가33번</v>
      </c>
      <c r="R1051" s="510"/>
      <c r="S1051" s="131"/>
      <c r="T1051" s="470" t="str">
        <f t="shared" si="1248"/>
        <v>단가33번</v>
      </c>
      <c r="V1051" s="548"/>
      <c r="W1051" s="471">
        <f t="shared" ref="W1051:X1051" si="1268">W1050</f>
        <v>41</v>
      </c>
      <c r="X1051" s="471" t="e">
        <f t="shared" si="1268"/>
        <v>#REF!</v>
      </c>
      <c r="Y1051" s="471" t="e">
        <f t="shared" si="1212"/>
        <v>#REF!</v>
      </c>
      <c r="Z1051" s="471"/>
      <c r="AA1051" s="471"/>
      <c r="AB1051" s="435"/>
    </row>
    <row r="1052" spans="1:40" s="457" customFormat="1" ht="15.75" customHeight="1" x14ac:dyDescent="0.15">
      <c r="A1052" s="470"/>
      <c r="B1052" s="95"/>
      <c r="C1052" s="140" t="s">
        <v>817</v>
      </c>
      <c r="D1052" s="95"/>
      <c r="E1052" s="141"/>
      <c r="F1052" s="96" t="s">
        <v>750</v>
      </c>
      <c r="G1052" s="505">
        <f>0.015*2</f>
        <v>0.03</v>
      </c>
      <c r="H1052" s="463" t="str">
        <f t="shared" si="1264"/>
        <v>도장공인</v>
      </c>
      <c r="I1052" s="451" t="str">
        <f>CONCATENATE(C1052,E1052,F1052)</f>
        <v>도장공인</v>
      </c>
      <c r="J1052" s="506" t="str">
        <f>IF(OR($F1052="인",$F1052=""),"",VLOOKUP($H1052,단가!$A:$S,19,FALSE))</f>
        <v/>
      </c>
      <c r="K1052" s="507" t="str">
        <f>IF(J1052="","",TRUNC($G1052*J1052,0))</f>
        <v/>
      </c>
      <c r="L1052" s="506">
        <f>IF($F1052="인",VLOOKUP($C:$C,노임!$C:$G,4,FALSE),"")</f>
        <v>148659</v>
      </c>
      <c r="M1052" s="507">
        <f>IF(L1052="","",TRUNC($G1052*L1052,0))</f>
        <v>4459</v>
      </c>
      <c r="N1052" s="507"/>
      <c r="O1052" s="507" t="str">
        <f>IF(N1052="","",TRUNC($G1052*N1052,0))</f>
        <v/>
      </c>
      <c r="P1052" s="508"/>
      <c r="Q1052" s="509" t="str">
        <f>IF(F1052="인","노임"&amp;VLOOKUP($C:$C,노임!C:G,5,FALSE)&amp;"번","단가"&amp;VLOOKUP($H:$H,단가!$A:$B,2,FALSE)&amp;"번")</f>
        <v>노임1029번</v>
      </c>
      <c r="R1052" s="510"/>
      <c r="S1052" s="131"/>
      <c r="T1052" s="470" t="str">
        <f t="shared" si="1248"/>
        <v>노임1029번</v>
      </c>
      <c r="V1052" s="549"/>
      <c r="W1052" s="471">
        <f t="shared" ref="W1052:X1052" si="1269">W1051</f>
        <v>41</v>
      </c>
      <c r="X1052" s="471" t="e">
        <f t="shared" si="1269"/>
        <v>#REF!</v>
      </c>
      <c r="Y1052" s="471" t="e">
        <f t="shared" si="1212"/>
        <v>#REF!</v>
      </c>
      <c r="Z1052" s="471"/>
      <c r="AA1052" s="471"/>
      <c r="AB1052" s="435"/>
      <c r="AD1052" s="470"/>
      <c r="AE1052" s="470"/>
      <c r="AF1052" s="470"/>
      <c r="AG1052" s="470"/>
      <c r="AH1052" s="470"/>
      <c r="AI1052" s="470"/>
      <c r="AJ1052" s="470"/>
      <c r="AK1052" s="470"/>
      <c r="AL1052" s="470"/>
      <c r="AM1052" s="470"/>
    </row>
    <row r="1053" spans="1:40" s="457" customFormat="1" ht="15.75" customHeight="1" x14ac:dyDescent="0.15">
      <c r="A1053" s="470"/>
      <c r="B1053" s="95"/>
      <c r="C1053" s="140" t="s">
        <v>767</v>
      </c>
      <c r="D1053" s="95"/>
      <c r="E1053" s="141"/>
      <c r="F1053" s="96" t="s">
        <v>750</v>
      </c>
      <c r="G1053" s="505">
        <f>0.003*2</f>
        <v>6.0000000000000001E-3</v>
      </c>
      <c r="H1053" s="463" t="str">
        <f t="shared" si="1264"/>
        <v>보통인부인</v>
      </c>
      <c r="I1053" s="451" t="str">
        <f>CONCATENATE(C1053,E1053,F1053)</f>
        <v>보통인부인</v>
      </c>
      <c r="J1053" s="506" t="str">
        <f>IF(OR($F1053="인",$F1053=""),"",VLOOKUP($H1053,단가!$A:$S,19,FALSE))</f>
        <v/>
      </c>
      <c r="K1053" s="507" t="str">
        <f>IF(J1053="","",TRUNC($G1053*J1053,0))</f>
        <v/>
      </c>
      <c r="L1053" s="506">
        <f>IF($F1053="인",VLOOKUP($C:$C,노임!$C:$G,4,FALSE),"")</f>
        <v>106846</v>
      </c>
      <c r="M1053" s="507">
        <f>IF(L1053="","",TRUNC($G1053*L1053,0))</f>
        <v>641</v>
      </c>
      <c r="N1053" s="507"/>
      <c r="O1053" s="507" t="str">
        <f>IF(N1053="","",TRUNC($G1053*N1053,0))</f>
        <v/>
      </c>
      <c r="P1053" s="508"/>
      <c r="Q1053" s="509" t="str">
        <f>IF(F1053="인","노임"&amp;VLOOKUP($C:$C,노임!C:G,5,FALSE)&amp;"번","단가"&amp;VLOOKUP($H:$H,단가!$A:$B,2,FALSE)&amp;"번")</f>
        <v>노임1002번</v>
      </c>
      <c r="R1053" s="510"/>
      <c r="S1053" s="131"/>
      <c r="T1053" s="470" t="str">
        <f t="shared" si="1248"/>
        <v>노임1002번</v>
      </c>
      <c r="U1053" s="470"/>
      <c r="V1053" s="549"/>
      <c r="W1053" s="471">
        <f t="shared" ref="W1053:X1053" si="1270">W1052</f>
        <v>41</v>
      </c>
      <c r="X1053" s="471" t="e">
        <f t="shared" si="1270"/>
        <v>#REF!</v>
      </c>
      <c r="Y1053" s="471" t="e">
        <f t="shared" si="1212"/>
        <v>#REF!</v>
      </c>
      <c r="Z1053" s="471"/>
      <c r="AA1053" s="471"/>
      <c r="AB1053" s="435"/>
      <c r="AC1053" s="470"/>
      <c r="AD1053" s="470"/>
      <c r="AE1053" s="470"/>
      <c r="AF1053" s="470"/>
      <c r="AG1053" s="470"/>
      <c r="AH1053" s="470"/>
      <c r="AI1053" s="470"/>
      <c r="AJ1053" s="470"/>
      <c r="AK1053" s="470"/>
      <c r="AL1053" s="470"/>
      <c r="AM1053" s="470"/>
      <c r="AN1053" s="470"/>
    </row>
    <row r="1054" spans="1:40" s="470" customFormat="1" ht="15.75" customHeight="1" x14ac:dyDescent="0.15">
      <c r="B1054" s="95"/>
      <c r="C1054" s="140" t="s">
        <v>776</v>
      </c>
      <c r="D1054" s="95"/>
      <c r="E1054" s="141" t="s">
        <v>1035</v>
      </c>
      <c r="F1054" s="94" t="s">
        <v>777</v>
      </c>
      <c r="G1054" s="505">
        <v>1</v>
      </c>
      <c r="H1054" s="463" t="str">
        <f t="shared" si="1264"/>
        <v>잡재료비주재료비의 3%식</v>
      </c>
      <c r="I1054" s="451" t="str">
        <f>CONCATENATE(C1054,E1054,F1054)</f>
        <v>잡재료비주재료비의 3%식</v>
      </c>
      <c r="J1054" s="506">
        <f>TRUNC((K1050+K1051)*3%,0)</f>
        <v>29</v>
      </c>
      <c r="K1054" s="507">
        <f>IF(J1054="","",TRUNC($G1054*J1054,0))</f>
        <v>29</v>
      </c>
      <c r="L1054" s="506"/>
      <c r="M1054" s="507"/>
      <c r="N1054" s="507"/>
      <c r="O1054" s="507" t="str">
        <f>IF(N1054="","",TRUNC($G1054*N1054,0))</f>
        <v/>
      </c>
      <c r="P1054" s="508"/>
      <c r="Q1054" s="512"/>
      <c r="R1054" s="534"/>
      <c r="S1054" s="131"/>
      <c r="T1054" s="470" t="str">
        <f t="shared" si="1248"/>
        <v/>
      </c>
      <c r="V1054" s="549"/>
      <c r="W1054" s="471">
        <f t="shared" ref="W1054:X1054" si="1271">W1053</f>
        <v>41</v>
      </c>
      <c r="X1054" s="471" t="e">
        <f t="shared" si="1271"/>
        <v>#REF!</v>
      </c>
      <c r="Y1054" s="471" t="e">
        <f t="shared" si="1212"/>
        <v>#REF!</v>
      </c>
      <c r="Z1054" s="471"/>
      <c r="AA1054" s="471"/>
      <c r="AB1054" s="435"/>
    </row>
    <row r="1055" spans="1:40" s="606" customFormat="1" ht="15.75" customHeight="1" x14ac:dyDescent="0.15">
      <c r="B1055" s="568"/>
      <c r="C1055" s="569"/>
      <c r="D1055" s="568"/>
      <c r="E1055" s="570"/>
      <c r="F1055" s="607"/>
      <c r="G1055" s="571"/>
      <c r="H1055" s="608"/>
      <c r="I1055" s="609"/>
      <c r="J1055" s="561"/>
      <c r="K1055" s="610"/>
      <c r="L1055" s="561"/>
      <c r="M1055" s="610"/>
      <c r="N1055" s="561"/>
      <c r="O1055" s="610"/>
      <c r="P1055" s="616"/>
      <c r="Q1055" s="617"/>
      <c r="R1055" s="627"/>
      <c r="S1055" s="614"/>
      <c r="T1055" s="470"/>
      <c r="V1055" s="619"/>
      <c r="W1055" s="471">
        <f t="shared" ref="W1055:X1055" si="1272">W1054</f>
        <v>41</v>
      </c>
      <c r="X1055" s="471" t="e">
        <f t="shared" si="1272"/>
        <v>#REF!</v>
      </c>
      <c r="Y1055" s="471" t="e">
        <f t="shared" si="1212"/>
        <v>#REF!</v>
      </c>
      <c r="Z1055" s="615"/>
      <c r="AA1055" s="615"/>
      <c r="AB1055" s="628"/>
      <c r="AF1055" s="618"/>
      <c r="AG1055" s="618"/>
      <c r="AH1055" s="618"/>
      <c r="AI1055" s="618"/>
      <c r="AJ1055" s="618"/>
      <c r="AK1055" s="618"/>
      <c r="AL1055" s="618"/>
      <c r="AM1055" s="618"/>
    </row>
    <row r="1056" spans="1:40" s="470" customFormat="1" ht="15.75" customHeight="1" x14ac:dyDescent="0.15">
      <c r="B1056" s="95"/>
      <c r="C1056" s="140"/>
      <c r="D1056" s="95"/>
      <c r="E1056" s="141"/>
      <c r="F1056" s="94"/>
      <c r="G1056" s="505"/>
      <c r="H1056" s="463" t="str">
        <f t="shared" si="1264"/>
        <v/>
      </c>
      <c r="I1056" s="451"/>
      <c r="J1056" s="506"/>
      <c r="K1056" s="507"/>
      <c r="L1056" s="506"/>
      <c r="M1056" s="507"/>
      <c r="N1056" s="507"/>
      <c r="O1056" s="507"/>
      <c r="P1056" s="508"/>
      <c r="Q1056" s="512"/>
      <c r="R1056" s="513"/>
      <c r="S1056" s="131"/>
      <c r="T1056" s="470" t="str">
        <f t="shared" si="1248"/>
        <v/>
      </c>
      <c r="V1056" s="549"/>
      <c r="W1056" s="471">
        <f t="shared" ref="W1056:X1056" si="1273">W1055</f>
        <v>41</v>
      </c>
      <c r="X1056" s="471" t="e">
        <f t="shared" si="1273"/>
        <v>#REF!</v>
      </c>
      <c r="Y1056" s="471" t="e">
        <f t="shared" si="1212"/>
        <v>#REF!</v>
      </c>
      <c r="Z1056" s="471"/>
      <c r="AA1056" s="471"/>
      <c r="AB1056" s="435"/>
    </row>
    <row r="1057" spans="1:40" s="470" customFormat="1" ht="15.75" customHeight="1" x14ac:dyDescent="0.15">
      <c r="B1057" s="95"/>
      <c r="C1057" s="140"/>
      <c r="D1057" s="95"/>
      <c r="E1057" s="141"/>
      <c r="F1057" s="94"/>
      <c r="G1057" s="505"/>
      <c r="H1057" s="463" t="str">
        <f t="shared" si="1264"/>
        <v/>
      </c>
      <c r="I1057" s="451"/>
      <c r="J1057" s="506"/>
      <c r="K1057" s="507"/>
      <c r="L1057" s="506"/>
      <c r="M1057" s="507"/>
      <c r="N1057" s="507"/>
      <c r="O1057" s="507"/>
      <c r="P1057" s="508"/>
      <c r="Q1057" s="512"/>
      <c r="R1057" s="534"/>
      <c r="S1057" s="131"/>
      <c r="T1057" s="470" t="str">
        <f t="shared" si="1248"/>
        <v/>
      </c>
      <c r="V1057" s="549"/>
      <c r="W1057" s="471">
        <f t="shared" ref="W1057:X1057" si="1274">W1056</f>
        <v>41</v>
      </c>
      <c r="X1057" s="471" t="e">
        <f t="shared" si="1274"/>
        <v>#REF!</v>
      </c>
      <c r="Y1057" s="471" t="e">
        <f t="shared" si="1212"/>
        <v>#REF!</v>
      </c>
      <c r="Z1057" s="471"/>
      <c r="AA1057" s="471"/>
      <c r="AB1057" s="435"/>
      <c r="AC1057" s="457"/>
    </row>
    <row r="1058" spans="1:40" s="470" customFormat="1" ht="15.75" customHeight="1" x14ac:dyDescent="0.15">
      <c r="B1058" s="95"/>
      <c r="C1058" s="140"/>
      <c r="D1058" s="95"/>
      <c r="E1058" s="141"/>
      <c r="F1058" s="94"/>
      <c r="G1058" s="505"/>
      <c r="H1058" s="463" t="str">
        <f t="shared" si="1264"/>
        <v/>
      </c>
      <c r="I1058" s="451"/>
      <c r="J1058" s="506"/>
      <c r="K1058" s="507"/>
      <c r="L1058" s="506"/>
      <c r="M1058" s="507"/>
      <c r="N1058" s="507"/>
      <c r="O1058" s="507"/>
      <c r="P1058" s="508"/>
      <c r="Q1058" s="512"/>
      <c r="R1058" s="534"/>
      <c r="S1058" s="131"/>
      <c r="T1058" s="470" t="str">
        <f t="shared" si="1248"/>
        <v/>
      </c>
      <c r="V1058" s="549"/>
      <c r="W1058" s="471">
        <f t="shared" ref="W1058:X1058" si="1275">W1057</f>
        <v>41</v>
      </c>
      <c r="X1058" s="471" t="e">
        <f t="shared" si="1275"/>
        <v>#REF!</v>
      </c>
      <c r="Y1058" s="471" t="e">
        <f t="shared" si="1212"/>
        <v>#REF!</v>
      </c>
      <c r="Z1058" s="471"/>
      <c r="AA1058" s="471"/>
      <c r="AB1058" s="435"/>
    </row>
    <row r="1059" spans="1:40" s="470" customFormat="1" ht="15.75" customHeight="1" x14ac:dyDescent="0.15">
      <c r="B1059" s="95"/>
      <c r="C1059" s="140"/>
      <c r="D1059" s="95"/>
      <c r="E1059" s="141"/>
      <c r="F1059" s="94"/>
      <c r="G1059" s="505"/>
      <c r="H1059" s="463" t="str">
        <f t="shared" si="1264"/>
        <v/>
      </c>
      <c r="I1059" s="451"/>
      <c r="J1059" s="506"/>
      <c r="K1059" s="507"/>
      <c r="L1059" s="506"/>
      <c r="M1059" s="507"/>
      <c r="N1059" s="507"/>
      <c r="O1059" s="507"/>
      <c r="P1059" s="508"/>
      <c r="Q1059" s="512"/>
      <c r="R1059" s="534"/>
      <c r="S1059" s="131"/>
      <c r="T1059" s="470" t="str">
        <f t="shared" si="1248"/>
        <v/>
      </c>
      <c r="V1059" s="549"/>
      <c r="W1059" s="471">
        <f t="shared" ref="W1059:X1059" si="1276">W1058</f>
        <v>41</v>
      </c>
      <c r="X1059" s="471" t="e">
        <f t="shared" si="1276"/>
        <v>#REF!</v>
      </c>
      <c r="Y1059" s="471" t="e">
        <f t="shared" si="1212"/>
        <v>#REF!</v>
      </c>
      <c r="Z1059" s="471"/>
      <c r="AA1059" s="471"/>
      <c r="AB1059" s="435"/>
    </row>
    <row r="1060" spans="1:40" s="470" customFormat="1" ht="15.75" customHeight="1" x14ac:dyDescent="0.15">
      <c r="B1060" s="95"/>
      <c r="C1060" s="140"/>
      <c r="D1060" s="95"/>
      <c r="E1060" s="141"/>
      <c r="F1060" s="94"/>
      <c r="G1060" s="505"/>
      <c r="H1060" s="463" t="str">
        <f t="shared" si="1264"/>
        <v/>
      </c>
      <c r="I1060" s="451"/>
      <c r="J1060" s="506"/>
      <c r="K1060" s="507"/>
      <c r="L1060" s="506"/>
      <c r="M1060" s="507"/>
      <c r="N1060" s="507"/>
      <c r="O1060" s="507"/>
      <c r="P1060" s="508"/>
      <c r="Q1060" s="512"/>
      <c r="R1060" s="534"/>
      <c r="S1060" s="131"/>
      <c r="T1060" s="470" t="str">
        <f t="shared" si="1248"/>
        <v/>
      </c>
      <c r="V1060" s="549"/>
      <c r="W1060" s="471">
        <f t="shared" ref="W1060:X1060" si="1277">W1059</f>
        <v>41</v>
      </c>
      <c r="X1060" s="471" t="e">
        <f t="shared" si="1277"/>
        <v>#REF!</v>
      </c>
      <c r="Y1060" s="471" t="e">
        <f t="shared" si="1212"/>
        <v>#REF!</v>
      </c>
      <c r="Z1060" s="471"/>
      <c r="AA1060" s="471"/>
      <c r="AB1060" s="435"/>
      <c r="AC1060" s="457"/>
    </row>
    <row r="1061" spans="1:40" s="470" customFormat="1" ht="15.75" customHeight="1" x14ac:dyDescent="0.15">
      <c r="B1061" s="95"/>
      <c r="C1061" s="140"/>
      <c r="D1061" s="95"/>
      <c r="E1061" s="141"/>
      <c r="F1061" s="94"/>
      <c r="G1061" s="505"/>
      <c r="H1061" s="463" t="str">
        <f t="shared" si="1264"/>
        <v/>
      </c>
      <c r="I1061" s="451"/>
      <c r="J1061" s="506"/>
      <c r="K1061" s="507"/>
      <c r="L1061" s="506"/>
      <c r="M1061" s="507"/>
      <c r="N1061" s="507"/>
      <c r="O1061" s="507"/>
      <c r="P1061" s="508"/>
      <c r="Q1061" s="512"/>
      <c r="R1061" s="534"/>
      <c r="S1061" s="131"/>
      <c r="T1061" s="470" t="str">
        <f t="shared" si="1248"/>
        <v/>
      </c>
      <c r="V1061" s="549"/>
      <c r="W1061" s="471">
        <f t="shared" ref="W1061:X1061" si="1278">W1060</f>
        <v>41</v>
      </c>
      <c r="X1061" s="471" t="e">
        <f t="shared" si="1278"/>
        <v>#REF!</v>
      </c>
      <c r="Y1061" s="471" t="e">
        <f t="shared" si="1212"/>
        <v>#REF!</v>
      </c>
      <c r="Z1061" s="471"/>
      <c r="AA1061" s="471"/>
      <c r="AB1061" s="435"/>
    </row>
    <row r="1062" spans="1:40" s="470" customFormat="1" ht="15.75" customHeight="1" x14ac:dyDescent="0.15">
      <c r="B1062" s="95"/>
      <c r="C1062" s="140"/>
      <c r="D1062" s="95"/>
      <c r="E1062" s="141"/>
      <c r="F1062" s="94"/>
      <c r="G1062" s="505"/>
      <c r="H1062" s="463" t="str">
        <f t="shared" si="1264"/>
        <v/>
      </c>
      <c r="I1062" s="451"/>
      <c r="J1062" s="506"/>
      <c r="K1062" s="507"/>
      <c r="L1062" s="506"/>
      <c r="M1062" s="507"/>
      <c r="N1062" s="507"/>
      <c r="O1062" s="507"/>
      <c r="P1062" s="508"/>
      <c r="Q1062" s="512"/>
      <c r="R1062" s="534"/>
      <c r="S1062" s="131"/>
      <c r="T1062" s="470" t="str">
        <f t="shared" si="1248"/>
        <v/>
      </c>
      <c r="V1062" s="549"/>
      <c r="W1062" s="471">
        <f t="shared" ref="W1062:X1062" si="1279">W1061</f>
        <v>41</v>
      </c>
      <c r="X1062" s="471" t="e">
        <f t="shared" si="1279"/>
        <v>#REF!</v>
      </c>
      <c r="Y1062" s="471" t="e">
        <f t="shared" si="1212"/>
        <v>#REF!</v>
      </c>
      <c r="Z1062" s="471"/>
      <c r="AA1062" s="471"/>
      <c r="AB1062" s="435"/>
    </row>
    <row r="1063" spans="1:40" s="470" customFormat="1" ht="15.75" customHeight="1" x14ac:dyDescent="0.15">
      <c r="B1063" s="95"/>
      <c r="C1063" s="140"/>
      <c r="D1063" s="95"/>
      <c r="E1063" s="141"/>
      <c r="F1063" s="94"/>
      <c r="G1063" s="505"/>
      <c r="H1063" s="463" t="str">
        <f t="shared" si="1264"/>
        <v/>
      </c>
      <c r="I1063" s="451"/>
      <c r="J1063" s="506"/>
      <c r="K1063" s="507"/>
      <c r="L1063" s="506"/>
      <c r="M1063" s="507"/>
      <c r="N1063" s="507"/>
      <c r="O1063" s="507"/>
      <c r="P1063" s="508"/>
      <c r="Q1063" s="512"/>
      <c r="R1063" s="513"/>
      <c r="S1063" s="131"/>
      <c r="T1063" s="470" t="str">
        <f t="shared" si="1248"/>
        <v/>
      </c>
      <c r="V1063" s="549"/>
      <c r="W1063" s="471">
        <f t="shared" ref="W1063:X1063" si="1280">W1062</f>
        <v>41</v>
      </c>
      <c r="X1063" s="471" t="e">
        <f t="shared" si="1280"/>
        <v>#REF!</v>
      </c>
      <c r="Y1063" s="471" t="e">
        <f t="shared" si="1212"/>
        <v>#REF!</v>
      </c>
      <c r="Z1063" s="471"/>
      <c r="AA1063" s="471"/>
      <c r="AB1063" s="435"/>
    </row>
    <row r="1064" spans="1:40" s="470" customFormat="1" ht="15.75" customHeight="1" x14ac:dyDescent="0.15">
      <c r="B1064" s="514" t="s">
        <v>813</v>
      </c>
      <c r="C1064" s="515"/>
      <c r="D1064" s="516"/>
      <c r="E1064" s="517"/>
      <c r="F1064" s="518"/>
      <c r="G1064" s="519"/>
      <c r="H1064" s="463" t="str">
        <f t="shared" si="1264"/>
        <v/>
      </c>
      <c r="I1064" s="520">
        <f>목록!$B$47</f>
        <v>41</v>
      </c>
      <c r="J1064" s="521"/>
      <c r="K1064" s="522">
        <f>SUM(K1050:K1063)</f>
        <v>1010</v>
      </c>
      <c r="L1064" s="521"/>
      <c r="M1064" s="522">
        <f>SUM(M1050:M1063)</f>
        <v>5100</v>
      </c>
      <c r="N1064" s="521"/>
      <c r="O1064" s="522">
        <f>SUM(O1050:O1063)</f>
        <v>0</v>
      </c>
      <c r="P1064" s="523"/>
      <c r="Q1064" s="512"/>
      <c r="R1064" s="513"/>
      <c r="S1064" s="524"/>
      <c r="T1064" s="470" t="str">
        <f t="shared" si="1248"/>
        <v/>
      </c>
      <c r="V1064" s="549"/>
      <c r="W1064" s="471">
        <f t="shared" ref="W1064:X1064" si="1281">W1063</f>
        <v>41</v>
      </c>
      <c r="X1064" s="471" t="e">
        <f t="shared" si="1281"/>
        <v>#REF!</v>
      </c>
      <c r="Y1064" s="471" t="e">
        <f t="shared" si="1212"/>
        <v>#REF!</v>
      </c>
      <c r="Z1064" s="471"/>
      <c r="AA1064" s="471"/>
      <c r="AB1064" s="435"/>
    </row>
    <row r="1065" spans="1:40" s="470" customFormat="1" ht="15.75" customHeight="1" x14ac:dyDescent="0.15">
      <c r="B1065" s="453"/>
      <c r="C1065" s="209"/>
      <c r="D1065" s="95"/>
      <c r="E1065" s="141"/>
      <c r="F1065" s="94"/>
      <c r="G1065" s="505"/>
      <c r="H1065" s="463" t="str">
        <f t="shared" si="1264"/>
        <v/>
      </c>
      <c r="I1065" s="451"/>
      <c r="J1065" s="506"/>
      <c r="K1065" s="507"/>
      <c r="L1065" s="506"/>
      <c r="M1065" s="507"/>
      <c r="N1065" s="507"/>
      <c r="O1065" s="507"/>
      <c r="P1065" s="508"/>
      <c r="Q1065" s="512"/>
      <c r="R1065" s="513"/>
      <c r="S1065" s="131"/>
      <c r="T1065" s="470" t="str">
        <f t="shared" si="1248"/>
        <v/>
      </c>
      <c r="V1065" s="549"/>
      <c r="W1065" s="615">
        <f t="shared" ref="W1065:X1065" si="1282">W1064</f>
        <v>41</v>
      </c>
      <c r="X1065" s="471" t="e">
        <f t="shared" si="1282"/>
        <v>#REF!</v>
      </c>
      <c r="Y1065" s="471" t="e">
        <f t="shared" si="1212"/>
        <v>#REF!</v>
      </c>
      <c r="Z1065" s="471"/>
      <c r="AA1065" s="471"/>
      <c r="AB1065" s="435"/>
    </row>
    <row r="1066" spans="1:40" s="470" customFormat="1" ht="15.75" customHeight="1" x14ac:dyDescent="0.15">
      <c r="A1066" s="457"/>
      <c r="B1066" s="453"/>
      <c r="C1066" s="209" t="s">
        <v>1047</v>
      </c>
      <c r="D1066" s="95"/>
      <c r="E1066" s="141"/>
      <c r="F1066" s="94"/>
      <c r="G1066" s="505"/>
      <c r="H1066" s="463" t="str">
        <f t="shared" si="1264"/>
        <v>※ 건축표준품셈 : 17-4 녹막이 페인트</v>
      </c>
      <c r="I1066" s="451"/>
      <c r="J1066" s="506"/>
      <c r="K1066" s="507"/>
      <c r="L1066" s="506"/>
      <c r="M1066" s="507"/>
      <c r="N1066" s="507"/>
      <c r="O1066" s="507"/>
      <c r="P1066" s="508"/>
      <c r="Q1066" s="512"/>
      <c r="R1066" s="513"/>
      <c r="S1066" s="131"/>
      <c r="T1066" s="470" t="str">
        <f t="shared" si="1248"/>
        <v/>
      </c>
      <c r="V1066" s="551"/>
      <c r="W1066" s="471">
        <f t="shared" ref="W1066:X1066" si="1283">W1065</f>
        <v>41</v>
      </c>
      <c r="X1066" s="471" t="e">
        <f t="shared" si="1283"/>
        <v>#REF!</v>
      </c>
      <c r="Y1066" s="471" t="e">
        <f t="shared" si="1212"/>
        <v>#REF!</v>
      </c>
      <c r="Z1066" s="471"/>
      <c r="AA1066" s="471"/>
      <c r="AB1066" s="435"/>
    </row>
    <row r="1067" spans="1:40" s="470" customFormat="1" ht="15.75" customHeight="1" x14ac:dyDescent="0.15">
      <c r="B1067" s="514"/>
      <c r="C1067" s="209"/>
      <c r="D1067" s="516"/>
      <c r="E1067" s="517"/>
      <c r="F1067" s="518"/>
      <c r="G1067" s="519"/>
      <c r="H1067" s="463" t="str">
        <f t="shared" si="1264"/>
        <v/>
      </c>
      <c r="I1067" s="520"/>
      <c r="J1067" s="521"/>
      <c r="K1067" s="522"/>
      <c r="L1067" s="521"/>
      <c r="M1067" s="522"/>
      <c r="N1067" s="521"/>
      <c r="O1067" s="522"/>
      <c r="P1067" s="523"/>
      <c r="Q1067" s="512"/>
      <c r="R1067" s="513"/>
      <c r="S1067" s="524"/>
      <c r="T1067" s="470" t="str">
        <f t="shared" si="1248"/>
        <v/>
      </c>
      <c r="U1067" s="457"/>
      <c r="W1067" s="471">
        <f t="shared" ref="W1067:X1067" si="1284">W1066</f>
        <v>41</v>
      </c>
      <c r="X1067" s="471" t="e">
        <f t="shared" si="1284"/>
        <v>#REF!</v>
      </c>
      <c r="Y1067" s="471" t="e">
        <f t="shared" ref="Y1067:Y1130" si="1285">X1067-W1067</f>
        <v>#REF!</v>
      </c>
      <c r="Z1067" s="471"/>
      <c r="AA1067" s="471"/>
      <c r="AB1067" s="435"/>
      <c r="AC1067" s="457"/>
      <c r="AF1067" s="457"/>
      <c r="AG1067" s="457"/>
      <c r="AH1067" s="457"/>
      <c r="AI1067" s="457"/>
      <c r="AJ1067" s="457"/>
      <c r="AK1067" s="457"/>
      <c r="AL1067" s="457"/>
      <c r="AM1067" s="457"/>
      <c r="AN1067" s="457"/>
    </row>
    <row r="1068" spans="1:40" s="470" customFormat="1" ht="15.75" customHeight="1" x14ac:dyDescent="0.15">
      <c r="A1068" s="457"/>
      <c r="B1068" s="457"/>
      <c r="C1068" s="458"/>
      <c r="D1068" s="459"/>
      <c r="E1068" s="460"/>
      <c r="F1068" s="461"/>
      <c r="G1068" s="462"/>
      <c r="H1068" s="463" t="str">
        <f>CONCATENATE(C1068,E1068,F1068)</f>
        <v/>
      </c>
      <c r="I1068" s="464"/>
      <c r="J1068" s="465"/>
      <c r="K1068" s="465"/>
      <c r="L1068" s="465"/>
      <c r="M1068" s="465"/>
      <c r="N1068" s="465"/>
      <c r="O1068" s="466"/>
      <c r="P1068" s="467"/>
      <c r="Q1068" s="468"/>
      <c r="R1068" s="469"/>
      <c r="S1068" s="467"/>
      <c r="T1068" s="470" t="str">
        <f>CONCATENATE(Q1068,R1068)</f>
        <v/>
      </c>
      <c r="V1068" s="458"/>
      <c r="W1068" s="533">
        <f t="shared" ref="W1068" si="1286">I1090</f>
        <v>42</v>
      </c>
      <c r="X1068" s="533" t="e">
        <f t="shared" ref="X1068" si="1287">X1067+1</f>
        <v>#REF!</v>
      </c>
      <c r="Y1068" s="533" t="e">
        <f t="shared" si="1285"/>
        <v>#REF!</v>
      </c>
      <c r="Z1068" s="533"/>
      <c r="AA1068" s="533"/>
    </row>
    <row r="1069" spans="1:40" s="470" customFormat="1" ht="15.75" customHeight="1" x14ac:dyDescent="0.15">
      <c r="A1069" s="457"/>
      <c r="B1069" s="473"/>
      <c r="C1069" s="474" t="str">
        <f>"   항목번호 : "&amp;목록!L$48</f>
        <v xml:space="preserve">   항목번호 : 제42호표</v>
      </c>
      <c r="D1069" s="475">
        <f>목록!B$48</f>
        <v>42</v>
      </c>
      <c r="E1069" s="476"/>
      <c r="F1069" s="477"/>
      <c r="G1069" s="478"/>
      <c r="H1069" s="463" t="str">
        <f>CONCATENATE(C1069,E1069,F1069)</f>
        <v xml:space="preserve">   항목번호 : 제42호표</v>
      </c>
      <c r="I1069" s="479"/>
      <c r="J1069" s="480"/>
      <c r="K1069" s="481"/>
      <c r="L1069" s="482"/>
      <c r="M1069" s="482"/>
      <c r="N1069" s="482"/>
      <c r="O1069" s="466"/>
      <c r="P1069" s="483"/>
      <c r="Q1069" s="484"/>
      <c r="R1069" s="485"/>
      <c r="S1069" s="483"/>
      <c r="T1069" s="470" t="str">
        <f>CONCATENATE(Q1069,R1069)</f>
        <v/>
      </c>
      <c r="V1069" s="458"/>
      <c r="W1069" s="471">
        <f t="shared" ref="W1069:X1069" si="1288">W1068</f>
        <v>42</v>
      </c>
      <c r="X1069" s="471" t="e">
        <f t="shared" si="1288"/>
        <v>#REF!</v>
      </c>
      <c r="Y1069" s="471" t="e">
        <f t="shared" si="1285"/>
        <v>#REF!</v>
      </c>
      <c r="Z1069" s="471"/>
      <c r="AA1069" s="471"/>
    </row>
    <row r="1070" spans="1:40" s="470" customFormat="1" ht="15.75" customHeight="1" x14ac:dyDescent="0.15">
      <c r="A1070" s="457"/>
      <c r="B1070" s="473"/>
      <c r="C1070" s="474" t="str">
        <f>"   공      종 : "&amp;목록!D$48</f>
        <v xml:space="preserve">   공      종 : 칼라락카</v>
      </c>
      <c r="D1070" s="484"/>
      <c r="E1070" s="476"/>
      <c r="F1070" s="473"/>
      <c r="G1070" s="478"/>
      <c r="H1070" s="463" t="str">
        <f>CONCATENATE(C1070,E1070,F1070)</f>
        <v xml:space="preserve">   공      종 : 칼라락카</v>
      </c>
      <c r="I1070" s="479"/>
      <c r="J1070" s="480"/>
      <c r="K1070" s="481"/>
      <c r="L1070" s="482"/>
      <c r="M1070" s="482"/>
      <c r="N1070" s="482"/>
      <c r="O1070" s="466"/>
      <c r="P1070" s="483"/>
      <c r="Q1070" s="484"/>
      <c r="R1070" s="485"/>
      <c r="S1070" s="483"/>
      <c r="T1070" s="470" t="str">
        <f t="shared" ref="T1070:T1133" si="1289">CONCATENATE(Q1070,R1070)</f>
        <v/>
      </c>
      <c r="U1070" s="457"/>
      <c r="W1070" s="471">
        <f t="shared" ref="W1070:X1070" si="1290">W1069</f>
        <v>42</v>
      </c>
      <c r="X1070" s="471" t="e">
        <f t="shared" si="1290"/>
        <v>#REF!</v>
      </c>
      <c r="Y1070" s="471" t="e">
        <f t="shared" si="1285"/>
        <v>#REF!</v>
      </c>
      <c r="Z1070" s="471"/>
      <c r="AA1070" s="471"/>
      <c r="AB1070" s="435"/>
      <c r="AC1070" s="457"/>
      <c r="AD1070" s="457"/>
      <c r="AE1070" s="457"/>
      <c r="AF1070" s="457"/>
      <c r="AG1070" s="457"/>
      <c r="AH1070" s="457"/>
      <c r="AI1070" s="457"/>
      <c r="AJ1070" s="457"/>
      <c r="AK1070" s="457"/>
      <c r="AL1070" s="457"/>
      <c r="AM1070" s="457"/>
      <c r="AN1070" s="457"/>
    </row>
    <row r="1071" spans="1:40" s="457" customFormat="1" ht="15.75" customHeight="1" x14ac:dyDescent="0.15">
      <c r="B1071" s="473"/>
      <c r="C1071" s="474" t="str">
        <f xml:space="preserve"> "   규      격 : "&amp;목록!F$48</f>
        <v xml:space="preserve">   규      격 : 목재면기준</v>
      </c>
      <c r="D1071" s="484"/>
      <c r="E1071" s="476"/>
      <c r="F1071" s="473"/>
      <c r="G1071" s="478"/>
      <c r="H1071" s="463" t="str">
        <f>CONCATENATE(C1071,E1071,F1071)</f>
        <v xml:space="preserve">   규      격 : 목재면기준</v>
      </c>
      <c r="I1071" s="479"/>
      <c r="J1071" s="480" t="s">
        <v>348</v>
      </c>
      <c r="K1071" s="481"/>
      <c r="L1071" s="482" t="s">
        <v>349</v>
      </c>
      <c r="M1071" s="482"/>
      <c r="N1071" s="482" t="s">
        <v>240</v>
      </c>
      <c r="O1071" s="466"/>
      <c r="P1071" s="483"/>
      <c r="Q1071" s="484" t="s">
        <v>764</v>
      </c>
      <c r="R1071" s="484"/>
      <c r="S1071" s="483"/>
      <c r="T1071" s="470" t="str">
        <f t="shared" si="1289"/>
        <v>합계</v>
      </c>
      <c r="V1071" s="547"/>
      <c r="W1071" s="471">
        <f t="shared" ref="W1071:X1071" si="1291">W1070</f>
        <v>42</v>
      </c>
      <c r="X1071" s="471" t="e">
        <f t="shared" si="1291"/>
        <v>#REF!</v>
      </c>
      <c r="Y1071" s="471" t="e">
        <f t="shared" si="1285"/>
        <v>#REF!</v>
      </c>
      <c r="Z1071" s="471"/>
      <c r="AA1071" s="471"/>
      <c r="AB1071" s="435"/>
    </row>
    <row r="1072" spans="1:40" s="457" customFormat="1" ht="15.75" customHeight="1" x14ac:dyDescent="0.15">
      <c r="B1072" s="473"/>
      <c r="C1072" s="474" t="str">
        <f>"   단      위 : "&amp;목록!G$48</f>
        <v xml:space="preserve">   단      위 : ㎡</v>
      </c>
      <c r="D1072" s="484"/>
      <c r="E1072" s="476"/>
      <c r="F1072" s="473"/>
      <c r="G1072" s="478"/>
      <c r="H1072" s="463" t="str">
        <f>CONCATENATE(C1072,E1072,F1072)</f>
        <v xml:space="preserve">   단      위 : ㎡</v>
      </c>
      <c r="I1072" s="479"/>
      <c r="J1072" s="486">
        <f>K1090</f>
        <v>9287</v>
      </c>
      <c r="K1072" s="481"/>
      <c r="L1072" s="487">
        <f>M1090</f>
        <v>53632</v>
      </c>
      <c r="M1072" s="482"/>
      <c r="N1072" s="482">
        <f>O1090</f>
        <v>0</v>
      </c>
      <c r="O1072" s="466"/>
      <c r="P1072" s="483"/>
      <c r="Q1072" s="488">
        <f>J1072+L1072+N1072</f>
        <v>62919</v>
      </c>
      <c r="R1072" s="489"/>
      <c r="S1072" s="483"/>
      <c r="T1072" s="470" t="str">
        <f t="shared" si="1289"/>
        <v>62919</v>
      </c>
      <c r="V1072" s="547"/>
      <c r="W1072" s="471">
        <f t="shared" ref="W1072:X1072" si="1292">W1071</f>
        <v>42</v>
      </c>
      <c r="X1072" s="471" t="e">
        <f t="shared" si="1292"/>
        <v>#REF!</v>
      </c>
      <c r="Y1072" s="471" t="e">
        <f t="shared" si="1285"/>
        <v>#REF!</v>
      </c>
      <c r="Z1072" s="471"/>
      <c r="AA1072" s="471"/>
      <c r="AB1072" s="435"/>
    </row>
    <row r="1073" spans="1:40" s="457" customFormat="1" ht="15.75" customHeight="1" x14ac:dyDescent="0.15">
      <c r="B1073" s="473"/>
      <c r="C1073" s="474"/>
      <c r="D1073" s="484"/>
      <c r="E1073" s="476"/>
      <c r="F1073" s="473"/>
      <c r="G1073" s="490"/>
      <c r="H1073" s="463" t="str">
        <f t="shared" ref="H1073:H1119" si="1293">CONCATENATE(C1073,E1073,F1073)</f>
        <v/>
      </c>
      <c r="I1073" s="491"/>
      <c r="J1073" s="482"/>
      <c r="K1073" s="465"/>
      <c r="L1073" s="482"/>
      <c r="M1073" s="482"/>
      <c r="N1073" s="482"/>
      <c r="O1073" s="466"/>
      <c r="P1073" s="492"/>
      <c r="Q1073" s="493"/>
      <c r="R1073" s="485"/>
      <c r="S1073" s="492"/>
      <c r="T1073" s="470" t="str">
        <f t="shared" si="1289"/>
        <v/>
      </c>
      <c r="V1073" s="547"/>
      <c r="W1073" s="471">
        <f t="shared" ref="W1073:X1073" si="1294">W1072</f>
        <v>42</v>
      </c>
      <c r="X1073" s="471" t="e">
        <f t="shared" si="1294"/>
        <v>#REF!</v>
      </c>
      <c r="Y1073" s="471" t="e">
        <f t="shared" si="1285"/>
        <v>#REF!</v>
      </c>
      <c r="Z1073" s="471"/>
      <c r="AA1073" s="471"/>
      <c r="AB1073" s="435"/>
    </row>
    <row r="1074" spans="1:40" s="457" customFormat="1" ht="15.75" customHeight="1" x14ac:dyDescent="0.15">
      <c r="B1074" s="899" t="s">
        <v>375</v>
      </c>
      <c r="C1074" s="900"/>
      <c r="D1074" s="907" t="s">
        <v>356</v>
      </c>
      <c r="E1074" s="908"/>
      <c r="F1074" s="903" t="s">
        <v>803</v>
      </c>
      <c r="G1074" s="913" t="s">
        <v>804</v>
      </c>
      <c r="H1074" s="463" t="str">
        <f t="shared" si="1293"/>
        <v>단위</v>
      </c>
      <c r="I1074" s="494"/>
      <c r="J1074" s="495" t="s">
        <v>348</v>
      </c>
      <c r="K1074" s="496"/>
      <c r="L1074" s="495" t="s">
        <v>349</v>
      </c>
      <c r="M1074" s="496"/>
      <c r="N1074" s="497" t="s">
        <v>240</v>
      </c>
      <c r="O1074" s="497"/>
      <c r="P1074" s="498"/>
      <c r="Q1074" s="744" t="s">
        <v>355</v>
      </c>
      <c r="R1074" s="744"/>
      <c r="S1074" s="499"/>
      <c r="T1074" s="470" t="str">
        <f t="shared" si="1289"/>
        <v>비  고</v>
      </c>
      <c r="V1074" s="547"/>
      <c r="W1074" s="471">
        <f t="shared" ref="W1074:X1074" si="1295">W1073</f>
        <v>42</v>
      </c>
      <c r="X1074" s="471" t="e">
        <f t="shared" si="1295"/>
        <v>#REF!</v>
      </c>
      <c r="Y1074" s="471" t="e">
        <f t="shared" si="1285"/>
        <v>#REF!</v>
      </c>
      <c r="Z1074" s="471"/>
      <c r="AA1074" s="471"/>
      <c r="AB1074" s="435"/>
    </row>
    <row r="1075" spans="1:40" s="457" customFormat="1" ht="15.75" customHeight="1" x14ac:dyDescent="0.15">
      <c r="B1075" s="901"/>
      <c r="C1075" s="902"/>
      <c r="D1075" s="909"/>
      <c r="E1075" s="910"/>
      <c r="F1075" s="904"/>
      <c r="G1075" s="914"/>
      <c r="H1075" s="463" t="str">
        <f t="shared" si="1293"/>
        <v/>
      </c>
      <c r="I1075" s="500"/>
      <c r="J1075" s="501" t="s">
        <v>353</v>
      </c>
      <c r="K1075" s="501" t="s">
        <v>354</v>
      </c>
      <c r="L1075" s="501" t="s">
        <v>353</v>
      </c>
      <c r="M1075" s="502" t="s">
        <v>354</v>
      </c>
      <c r="N1075" s="501" t="s">
        <v>353</v>
      </c>
      <c r="O1075" s="501" t="s">
        <v>354</v>
      </c>
      <c r="P1075" s="503"/>
      <c r="Q1075" s="745"/>
      <c r="R1075" s="745"/>
      <c r="S1075" s="504"/>
      <c r="T1075" s="470" t="str">
        <f t="shared" si="1289"/>
        <v/>
      </c>
      <c r="V1075" s="547"/>
      <c r="W1075" s="471">
        <f t="shared" ref="W1075:X1075" si="1296">W1074</f>
        <v>42</v>
      </c>
      <c r="X1075" s="471" t="e">
        <f t="shared" si="1296"/>
        <v>#REF!</v>
      </c>
      <c r="Y1075" s="471" t="e">
        <f t="shared" si="1285"/>
        <v>#REF!</v>
      </c>
      <c r="Z1075" s="471"/>
      <c r="AA1075" s="471"/>
      <c r="AB1075" s="435"/>
    </row>
    <row r="1076" spans="1:40" s="457" customFormat="1" ht="15.75" customHeight="1" x14ac:dyDescent="0.15">
      <c r="A1076" s="547"/>
      <c r="B1076" s="95"/>
      <c r="C1076" s="212" t="s">
        <v>930</v>
      </c>
      <c r="D1076" s="213"/>
      <c r="E1076" s="541"/>
      <c r="F1076" s="207" t="s">
        <v>360</v>
      </c>
      <c r="G1076" s="505">
        <v>0.01</v>
      </c>
      <c r="H1076" s="463" t="str">
        <f t="shared" si="1293"/>
        <v>셸락니스ℓ</v>
      </c>
      <c r="I1076" s="451" t="str">
        <f t="shared" ref="I1076:I1086" si="1297">CONCATENATE(C1076,E1076,F1076)</f>
        <v>셸락니스ℓ</v>
      </c>
      <c r="J1076" s="506">
        <f>IF(OR($F1076="인",$F1076=""),"",VLOOKUP($H1076,단가!$A:$S,19,FALSE))</f>
        <v>18000</v>
      </c>
      <c r="K1076" s="507">
        <f t="shared" ref="K1076:K1086" si="1298">IF(J1076="","",TRUNC($G1076*J1076,0))</f>
        <v>180</v>
      </c>
      <c r="L1076" s="506" t="str">
        <f>IF($F1076="인",VLOOKUP($C:$C,노임!$C:$G,4,FALSE),"")</f>
        <v/>
      </c>
      <c r="M1076" s="507" t="str">
        <f t="shared" ref="M1076:M1084" si="1299">IF(L1076="","",TRUNC($G1076*L1076,0))</f>
        <v/>
      </c>
      <c r="N1076" s="507"/>
      <c r="O1076" s="507" t="str">
        <f t="shared" ref="O1076:O1084" si="1300">IF(N1076="","",TRUNC($G1076*N1076,0))</f>
        <v/>
      </c>
      <c r="P1076" s="508"/>
      <c r="Q1076" s="509" t="str">
        <f>IF(F1076="인","노임"&amp;VLOOKUP($C:$C,노임!C:G,5,FALSE)&amp;"번","단가"&amp;VLOOKUP($H:$H,단가!$A:$B,2,FALSE)&amp;"번")</f>
        <v>단가75번</v>
      </c>
      <c r="R1076" s="510"/>
      <c r="S1076" s="131"/>
      <c r="T1076" s="470" t="str">
        <f t="shared" si="1289"/>
        <v>단가75번</v>
      </c>
      <c r="V1076" s="548"/>
      <c r="W1076" s="471">
        <f t="shared" ref="W1076:X1076" si="1301">W1075</f>
        <v>42</v>
      </c>
      <c r="X1076" s="471" t="e">
        <f t="shared" si="1301"/>
        <v>#REF!</v>
      </c>
      <c r="Y1076" s="471" t="e">
        <f t="shared" si="1285"/>
        <v>#REF!</v>
      </c>
      <c r="Z1076" s="471"/>
      <c r="AA1076" s="471"/>
      <c r="AB1076" s="435"/>
    </row>
    <row r="1077" spans="1:40" s="457" customFormat="1" ht="15.75" customHeight="1" x14ac:dyDescent="0.15">
      <c r="A1077" s="547"/>
      <c r="B1077" s="95"/>
      <c r="C1077" s="214" t="s">
        <v>931</v>
      </c>
      <c r="D1077" s="213"/>
      <c r="E1077" s="541" t="s">
        <v>932</v>
      </c>
      <c r="F1077" s="94" t="s">
        <v>360</v>
      </c>
      <c r="G1077" s="505">
        <v>0.17</v>
      </c>
      <c r="H1077" s="463" t="str">
        <f t="shared" si="1293"/>
        <v>락카프라이머LAA049ℓ</v>
      </c>
      <c r="I1077" s="451" t="str">
        <f t="shared" si="1297"/>
        <v>락카프라이머LAA049ℓ</v>
      </c>
      <c r="J1077" s="506">
        <f>IF(OR($F1077="인",$F1077=""),"",VLOOKUP($H1077,단가!$A:$S,19,FALSE))</f>
        <v>6025</v>
      </c>
      <c r="K1077" s="507">
        <f t="shared" si="1298"/>
        <v>1024</v>
      </c>
      <c r="L1077" s="506" t="str">
        <f>IF($F1077="인",VLOOKUP($C:$C,노임!$C:$G,4,FALSE),"")</f>
        <v/>
      </c>
      <c r="M1077" s="507" t="str">
        <f t="shared" si="1299"/>
        <v/>
      </c>
      <c r="N1077" s="507"/>
      <c r="O1077" s="507" t="str">
        <f t="shared" si="1300"/>
        <v/>
      </c>
      <c r="P1077" s="508"/>
      <c r="Q1077" s="509" t="str">
        <f>IF(F1077="인","노임"&amp;VLOOKUP($C:$C,노임!C:G,5,FALSE)&amp;"번","단가"&amp;VLOOKUP($H:$H,단가!$A:$B,2,FALSE)&amp;"번")</f>
        <v>단가31번</v>
      </c>
      <c r="R1077" s="510"/>
      <c r="S1077" s="131"/>
      <c r="T1077" s="470" t="str">
        <f t="shared" si="1289"/>
        <v>단가31번</v>
      </c>
      <c r="V1077" s="548"/>
      <c r="W1077" s="471">
        <f t="shared" ref="W1077:X1077" si="1302">W1076</f>
        <v>42</v>
      </c>
      <c r="X1077" s="471" t="e">
        <f t="shared" si="1302"/>
        <v>#REF!</v>
      </c>
      <c r="Y1077" s="471" t="e">
        <f t="shared" si="1285"/>
        <v>#REF!</v>
      </c>
      <c r="Z1077" s="471"/>
      <c r="AA1077" s="471"/>
      <c r="AB1077" s="435"/>
    </row>
    <row r="1078" spans="1:40" s="457" customFormat="1" ht="15.75" customHeight="1" x14ac:dyDescent="0.15">
      <c r="A1078" s="470"/>
      <c r="B1078" s="95"/>
      <c r="C1078" s="140" t="s">
        <v>933</v>
      </c>
      <c r="D1078" s="95"/>
      <c r="E1078" s="141"/>
      <c r="F1078" s="207" t="s">
        <v>360</v>
      </c>
      <c r="G1078" s="505">
        <v>0.17</v>
      </c>
      <c r="H1078" s="463" t="str">
        <f t="shared" si="1293"/>
        <v>미네랄스피릿ℓ</v>
      </c>
      <c r="I1078" s="451" t="str">
        <f t="shared" si="1297"/>
        <v>미네랄스피릿ℓ</v>
      </c>
      <c r="J1078" s="506">
        <f>IF(OR($F1078="인",$F1078=""),"",VLOOKUP($H1078,단가!$A:$S,19,FALSE))</f>
        <v>2500</v>
      </c>
      <c r="K1078" s="507">
        <f t="shared" si="1298"/>
        <v>425</v>
      </c>
      <c r="L1078" s="506" t="str">
        <f>IF($F1078="인",VLOOKUP($C:$C,노임!$C:$G,4,FALSE),"")</f>
        <v/>
      </c>
      <c r="M1078" s="507" t="str">
        <f t="shared" si="1299"/>
        <v/>
      </c>
      <c r="N1078" s="507"/>
      <c r="O1078" s="507" t="str">
        <f t="shared" si="1300"/>
        <v/>
      </c>
      <c r="P1078" s="508"/>
      <c r="Q1078" s="509" t="str">
        <f>IF(F1078="인","노임"&amp;VLOOKUP($C:$C,노임!C:G,5,FALSE)&amp;"번","단가"&amp;VLOOKUP($H:$H,단가!$A:$B,2,FALSE)&amp;"번")</f>
        <v>단가73번</v>
      </c>
      <c r="R1078" s="510"/>
      <c r="S1078" s="131"/>
      <c r="T1078" s="470" t="str">
        <f t="shared" si="1289"/>
        <v>단가73번</v>
      </c>
      <c r="U1078" s="470"/>
      <c r="V1078" s="549"/>
      <c r="W1078" s="471">
        <f t="shared" ref="W1078:X1078" si="1303">W1077</f>
        <v>42</v>
      </c>
      <c r="X1078" s="471" t="e">
        <f t="shared" si="1303"/>
        <v>#REF!</v>
      </c>
      <c r="Y1078" s="471" t="e">
        <f t="shared" si="1285"/>
        <v>#REF!</v>
      </c>
      <c r="Z1078" s="471"/>
      <c r="AA1078" s="471"/>
      <c r="AB1078" s="435"/>
      <c r="AF1078" s="470"/>
      <c r="AG1078" s="470"/>
      <c r="AH1078" s="470"/>
      <c r="AI1078" s="470"/>
      <c r="AJ1078" s="470"/>
      <c r="AK1078" s="470"/>
      <c r="AL1078" s="470"/>
      <c r="AM1078" s="470"/>
      <c r="AN1078" s="470"/>
    </row>
    <row r="1079" spans="1:40" s="470" customFormat="1" ht="15.75" customHeight="1" x14ac:dyDescent="0.15">
      <c r="B1079" s="95"/>
      <c r="C1079" s="215" t="s">
        <v>934</v>
      </c>
      <c r="D1079" s="205"/>
      <c r="E1079" s="566" t="s">
        <v>376</v>
      </c>
      <c r="F1079" s="207" t="s">
        <v>360</v>
      </c>
      <c r="G1079" s="505">
        <v>0.3</v>
      </c>
      <c r="H1079" s="463" t="str">
        <f t="shared" si="1293"/>
        <v>오일샤페사U711W4001ℓ</v>
      </c>
      <c r="I1079" s="451" t="str">
        <f t="shared" si="1297"/>
        <v>오일샤페사U711W4001ℓ</v>
      </c>
      <c r="J1079" s="506">
        <f>IF(OR($F1079="인",$F1079=""),"",VLOOKUP($H1079,단가!$A:$S,19,FALSE))</f>
        <v>5288</v>
      </c>
      <c r="K1079" s="507">
        <f t="shared" si="1298"/>
        <v>1586</v>
      </c>
      <c r="L1079" s="506" t="str">
        <f>IF($F1079="인",VLOOKUP($C:$C,노임!$C:$G,4,FALSE),"")</f>
        <v/>
      </c>
      <c r="M1079" s="507" t="str">
        <f t="shared" si="1299"/>
        <v/>
      </c>
      <c r="N1079" s="507"/>
      <c r="O1079" s="507" t="str">
        <f t="shared" si="1300"/>
        <v/>
      </c>
      <c r="P1079" s="508"/>
      <c r="Q1079" s="509" t="str">
        <f>IF(F1079="인","노임"&amp;VLOOKUP($C:$C,노임!C:G,5,FALSE)&amp;"번","단가"&amp;VLOOKUP($H:$H,단가!$A:$B,2,FALSE)&amp;"번")</f>
        <v>단가41번</v>
      </c>
      <c r="R1079" s="510"/>
      <c r="S1079" s="131"/>
      <c r="T1079" s="470" t="str">
        <f t="shared" si="1289"/>
        <v>단가41번</v>
      </c>
      <c r="V1079" s="549"/>
      <c r="W1079" s="471">
        <f t="shared" ref="W1079:X1079" si="1304">W1078</f>
        <v>42</v>
      </c>
      <c r="X1079" s="471" t="e">
        <f t="shared" si="1304"/>
        <v>#REF!</v>
      </c>
      <c r="Y1079" s="471" t="e">
        <f t="shared" si="1285"/>
        <v>#REF!</v>
      </c>
      <c r="Z1079" s="471"/>
      <c r="AA1079" s="471"/>
      <c r="AB1079" s="435"/>
    </row>
    <row r="1080" spans="1:40" s="470" customFormat="1" ht="15.75" customHeight="1" x14ac:dyDescent="0.15">
      <c r="B1080" s="95"/>
      <c r="C1080" s="192" t="s">
        <v>926</v>
      </c>
      <c r="D1080" s="205"/>
      <c r="E1080" s="565" t="s">
        <v>937</v>
      </c>
      <c r="F1080" s="207" t="s">
        <v>360</v>
      </c>
      <c r="G1080" s="505">
        <v>0.05</v>
      </c>
      <c r="H1080" s="463" t="str">
        <f t="shared" si="1293"/>
        <v>신너KSM6060-3ℓ</v>
      </c>
      <c r="I1080" s="451" t="str">
        <f t="shared" si="1297"/>
        <v>신너KSM6060-3ℓ</v>
      </c>
      <c r="J1080" s="506">
        <f>IF(OR($F1080="인",$F1080=""),"",VLOOKUP($H1080,단가!$A:$S,19,FALSE))</f>
        <v>1780</v>
      </c>
      <c r="K1080" s="507">
        <f t="shared" si="1298"/>
        <v>89</v>
      </c>
      <c r="L1080" s="506" t="str">
        <f>IF($F1080="인",VLOOKUP($C:$C,노임!$C:$G,4,FALSE),"")</f>
        <v/>
      </c>
      <c r="M1080" s="507" t="str">
        <f t="shared" si="1299"/>
        <v/>
      </c>
      <c r="N1080" s="507"/>
      <c r="O1080" s="507" t="str">
        <f t="shared" si="1300"/>
        <v/>
      </c>
      <c r="P1080" s="508"/>
      <c r="Q1080" s="509" t="str">
        <f>IF(F1080="인","노임"&amp;VLOOKUP($C:$C,노임!C:G,5,FALSE)&amp;"번","단가"&amp;VLOOKUP($H:$H,단가!$A:$B,2,FALSE)&amp;"번")</f>
        <v>단가34번</v>
      </c>
      <c r="R1080" s="510"/>
      <c r="S1080" s="131"/>
      <c r="T1080" s="470" t="str">
        <f t="shared" si="1289"/>
        <v>단가34번</v>
      </c>
      <c r="V1080" s="549"/>
      <c r="W1080" s="471">
        <f t="shared" ref="W1080:X1080" si="1305">W1079</f>
        <v>42</v>
      </c>
      <c r="X1080" s="471" t="e">
        <f t="shared" si="1305"/>
        <v>#REF!</v>
      </c>
      <c r="Y1080" s="471" t="e">
        <f t="shared" si="1285"/>
        <v>#REF!</v>
      </c>
      <c r="Z1080" s="471"/>
      <c r="AA1080" s="471"/>
      <c r="AB1080" s="435"/>
    </row>
    <row r="1081" spans="1:40" s="470" customFormat="1" ht="15.75" customHeight="1" x14ac:dyDescent="0.15">
      <c r="B1081" s="95"/>
      <c r="C1081" s="209" t="s">
        <v>938</v>
      </c>
      <c r="D1081" s="95"/>
      <c r="E1081" s="141" t="s">
        <v>939</v>
      </c>
      <c r="F1081" s="94" t="s">
        <v>360</v>
      </c>
      <c r="G1081" s="505">
        <v>0.5</v>
      </c>
      <c r="H1081" s="463" t="str">
        <f t="shared" si="1293"/>
        <v>칼라락카CL440-1000ℓ</v>
      </c>
      <c r="I1081" s="451" t="str">
        <f t="shared" si="1297"/>
        <v>칼라락카CL440-1000ℓ</v>
      </c>
      <c r="J1081" s="506">
        <f>IF(OR($F1081="인",$F1081=""),"",VLOOKUP($H1081,단가!$A:$S,19,FALSE))</f>
        <v>6738</v>
      </c>
      <c r="K1081" s="507">
        <f t="shared" si="1298"/>
        <v>3369</v>
      </c>
      <c r="L1081" s="506" t="str">
        <f>IF($F1081="인",VLOOKUP($C:$C,노임!$C:$G,4,FALSE),"")</f>
        <v/>
      </c>
      <c r="M1081" s="507" t="str">
        <f t="shared" si="1299"/>
        <v/>
      </c>
      <c r="N1081" s="507"/>
      <c r="O1081" s="507" t="str">
        <f t="shared" si="1300"/>
        <v/>
      </c>
      <c r="P1081" s="508"/>
      <c r="Q1081" s="509" t="str">
        <f>IF(F1081="인","노임"&amp;VLOOKUP($C:$C,노임!C:G,5,FALSE)&amp;"번","단가"&amp;VLOOKUP($H:$H,단가!$A:$B,2,FALSE)&amp;"번")</f>
        <v>단가35번</v>
      </c>
      <c r="R1081" s="510"/>
      <c r="S1081" s="131"/>
      <c r="T1081" s="470" t="str">
        <f t="shared" si="1289"/>
        <v>단가35번</v>
      </c>
      <c r="V1081" s="549"/>
      <c r="W1081" s="471">
        <f t="shared" ref="W1081:X1081" si="1306">W1080</f>
        <v>42</v>
      </c>
      <c r="X1081" s="471" t="e">
        <f t="shared" si="1306"/>
        <v>#REF!</v>
      </c>
      <c r="Y1081" s="471" t="e">
        <f t="shared" si="1285"/>
        <v>#REF!</v>
      </c>
      <c r="Z1081" s="471"/>
      <c r="AA1081" s="471"/>
      <c r="AB1081" s="435"/>
    </row>
    <row r="1082" spans="1:40" s="470" customFormat="1" ht="15.75" customHeight="1" x14ac:dyDescent="0.15">
      <c r="B1082" s="95"/>
      <c r="C1082" s="140" t="s">
        <v>830</v>
      </c>
      <c r="D1082" s="95"/>
      <c r="E1082" s="141" t="s">
        <v>831</v>
      </c>
      <c r="F1082" s="96" t="s">
        <v>812</v>
      </c>
      <c r="G1082" s="505">
        <v>0.5</v>
      </c>
      <c r="H1082" s="463" t="str">
        <f t="shared" si="1293"/>
        <v>연마지#120매</v>
      </c>
      <c r="I1082" s="451" t="str">
        <f t="shared" si="1297"/>
        <v>연마지#120매</v>
      </c>
      <c r="J1082" s="506">
        <f>IF(OR($F1082="인",$F1082=""),"",VLOOKUP($H1082,단가!$A:$S,19,FALSE))</f>
        <v>200</v>
      </c>
      <c r="K1082" s="507">
        <f t="shared" si="1298"/>
        <v>100</v>
      </c>
      <c r="L1082" s="506" t="str">
        <f>IF($F1082="인",VLOOKUP($C:$C,노임!$C:$G,4,FALSE),"")</f>
        <v/>
      </c>
      <c r="M1082" s="507" t="str">
        <f t="shared" si="1299"/>
        <v/>
      </c>
      <c r="N1082" s="507"/>
      <c r="O1082" s="507" t="str">
        <f t="shared" si="1300"/>
        <v/>
      </c>
      <c r="P1082" s="508"/>
      <c r="Q1082" s="509" t="str">
        <f>IF(F1082="인","노임"&amp;VLOOKUP($C:$C,노임!C:G,5,FALSE)&amp;"번","단가"&amp;VLOOKUP($H:$H,단가!$A:$B,2,FALSE)&amp;"번")</f>
        <v>단가57번</v>
      </c>
      <c r="R1082" s="510"/>
      <c r="S1082" s="131"/>
      <c r="T1082" s="470" t="str">
        <f t="shared" si="1289"/>
        <v>단가57번</v>
      </c>
      <c r="V1082" s="549"/>
      <c r="W1082" s="471">
        <f t="shared" ref="W1082:X1082" si="1307">W1081</f>
        <v>42</v>
      </c>
      <c r="X1082" s="471" t="e">
        <f t="shared" si="1307"/>
        <v>#REF!</v>
      </c>
      <c r="Y1082" s="471" t="e">
        <f t="shared" si="1285"/>
        <v>#REF!</v>
      </c>
      <c r="Z1082" s="471"/>
      <c r="AA1082" s="471"/>
      <c r="AB1082" s="435"/>
    </row>
    <row r="1083" spans="1:40" s="470" customFormat="1" ht="15.75" customHeight="1" x14ac:dyDescent="0.15">
      <c r="B1083" s="95"/>
      <c r="C1083" s="140" t="s">
        <v>828</v>
      </c>
      <c r="D1083" s="95"/>
      <c r="E1083" s="141" t="s">
        <v>940</v>
      </c>
      <c r="F1083" s="96" t="s">
        <v>800</v>
      </c>
      <c r="G1083" s="505">
        <v>0.15</v>
      </c>
      <c r="H1083" s="463" t="str">
        <f t="shared" si="1293"/>
        <v>퍼티MC-319Kg</v>
      </c>
      <c r="I1083" s="451" t="str">
        <f t="shared" si="1297"/>
        <v>퍼티MC-319Kg</v>
      </c>
      <c r="J1083" s="506">
        <f>IF(OR($F1083="인",$F1083=""),"",VLOOKUP($H1083,단가!$A:$S,19,FALSE))</f>
        <v>3090</v>
      </c>
      <c r="K1083" s="507">
        <f t="shared" si="1298"/>
        <v>463</v>
      </c>
      <c r="L1083" s="506" t="str">
        <f>IF($F1083="인",VLOOKUP($C:$C,노임!$C:$G,4,FALSE),"")</f>
        <v/>
      </c>
      <c r="M1083" s="507" t="str">
        <f t="shared" si="1299"/>
        <v/>
      </c>
      <c r="N1083" s="507"/>
      <c r="O1083" s="507" t="str">
        <f t="shared" si="1300"/>
        <v/>
      </c>
      <c r="P1083" s="508"/>
      <c r="Q1083" s="509" t="str">
        <f>IF(F1083="인","노임"&amp;VLOOKUP($C:$C,노임!C:G,5,FALSE)&amp;"번","단가"&amp;VLOOKUP($H:$H,단가!$A:$B,2,FALSE)&amp;"번")</f>
        <v>단가38번</v>
      </c>
      <c r="R1083" s="510"/>
      <c r="S1083" s="131"/>
      <c r="T1083" s="470" t="str">
        <f t="shared" si="1289"/>
        <v>단가38번</v>
      </c>
      <c r="V1083" s="549"/>
      <c r="W1083" s="471">
        <f t="shared" ref="W1083:X1083" si="1308">W1082</f>
        <v>42</v>
      </c>
      <c r="X1083" s="471" t="e">
        <f t="shared" si="1308"/>
        <v>#REF!</v>
      </c>
      <c r="Y1083" s="471" t="e">
        <f t="shared" si="1285"/>
        <v>#REF!</v>
      </c>
      <c r="Z1083" s="471"/>
      <c r="AA1083" s="471"/>
      <c r="AB1083" s="435"/>
    </row>
    <row r="1084" spans="1:40" s="470" customFormat="1" ht="15.75" customHeight="1" x14ac:dyDescent="0.15">
      <c r="B1084" s="95"/>
      <c r="C1084" s="440" t="s">
        <v>817</v>
      </c>
      <c r="D1084" s="95"/>
      <c r="E1084" s="141"/>
      <c r="F1084" s="207" t="s">
        <v>750</v>
      </c>
      <c r="G1084" s="505">
        <v>0.35</v>
      </c>
      <c r="H1084" s="463" t="str">
        <f t="shared" si="1293"/>
        <v>도장공인</v>
      </c>
      <c r="I1084" s="451" t="str">
        <f t="shared" si="1297"/>
        <v>도장공인</v>
      </c>
      <c r="J1084" s="506" t="str">
        <f>IF(OR($F1084="인",$F1084=""),"",VLOOKUP($H1084,단가!$A:$S,19,FALSE))</f>
        <v/>
      </c>
      <c r="K1084" s="507" t="str">
        <f t="shared" si="1298"/>
        <v/>
      </c>
      <c r="L1084" s="506">
        <f>IF($F1084="인",VLOOKUP($C:$C,노임!$C:$G,4,FALSE),"")</f>
        <v>148659</v>
      </c>
      <c r="M1084" s="507">
        <f t="shared" si="1299"/>
        <v>52030</v>
      </c>
      <c r="N1084" s="507"/>
      <c r="O1084" s="507" t="str">
        <f t="shared" si="1300"/>
        <v/>
      </c>
      <c r="P1084" s="508"/>
      <c r="Q1084" s="509" t="str">
        <f>IF(F1084="인","노임"&amp;VLOOKUP($C:$C,노임!C:G,5,FALSE)&amp;"번","단가"&amp;VLOOKUP($H:$H,단가!$A:$B,2,FALSE)&amp;"번")</f>
        <v>노임1029번</v>
      </c>
      <c r="R1084" s="510"/>
      <c r="S1084" s="131"/>
      <c r="T1084" s="470" t="str">
        <f t="shared" si="1289"/>
        <v>노임1029번</v>
      </c>
      <c r="V1084" s="549"/>
      <c r="W1084" s="471">
        <f t="shared" ref="W1084:X1084" si="1309">W1083</f>
        <v>42</v>
      </c>
      <c r="X1084" s="471" t="e">
        <f t="shared" si="1309"/>
        <v>#REF!</v>
      </c>
      <c r="Y1084" s="471" t="e">
        <f t="shared" si="1285"/>
        <v>#REF!</v>
      </c>
      <c r="Z1084" s="471"/>
      <c r="AA1084" s="471"/>
      <c r="AB1084" s="435"/>
    </row>
    <row r="1085" spans="1:40" s="470" customFormat="1" ht="15.75" customHeight="1" x14ac:dyDescent="0.15">
      <c r="B1085" s="95"/>
      <c r="C1085" s="440" t="s">
        <v>927</v>
      </c>
      <c r="D1085" s="95"/>
      <c r="E1085" s="141" t="s">
        <v>941</v>
      </c>
      <c r="F1085" s="207" t="s">
        <v>777</v>
      </c>
      <c r="G1085" s="505">
        <v>1</v>
      </c>
      <c r="H1085" s="463" t="str">
        <f t="shared" si="1293"/>
        <v>소모재료비주재료비의10%식</v>
      </c>
      <c r="I1085" s="451" t="str">
        <f t="shared" si="1297"/>
        <v>소모재료비주재료비의10%식</v>
      </c>
      <c r="J1085" s="506">
        <f>TRUNC((K1076+K1077+K1078+K1079+K1080+K1081)*10%,0)</f>
        <v>667</v>
      </c>
      <c r="K1085" s="507">
        <f t="shared" si="1298"/>
        <v>667</v>
      </c>
      <c r="L1085" s="506"/>
      <c r="M1085" s="507"/>
      <c r="N1085" s="507"/>
      <c r="O1085" s="507"/>
      <c r="P1085" s="508"/>
      <c r="Q1085" s="512"/>
      <c r="R1085" s="534"/>
      <c r="S1085" s="131"/>
      <c r="T1085" s="470" t="str">
        <f t="shared" si="1289"/>
        <v/>
      </c>
      <c r="V1085" s="549"/>
      <c r="W1085" s="471">
        <f t="shared" ref="W1085:X1085" si="1310">W1084</f>
        <v>42</v>
      </c>
      <c r="X1085" s="471" t="e">
        <f t="shared" si="1310"/>
        <v>#REF!</v>
      </c>
      <c r="Y1085" s="471" t="e">
        <f t="shared" si="1285"/>
        <v>#REF!</v>
      </c>
      <c r="Z1085" s="471"/>
      <c r="AA1085" s="471"/>
      <c r="AB1085" s="435"/>
      <c r="AC1085" s="457"/>
    </row>
    <row r="1086" spans="1:40" s="470" customFormat="1" ht="15.75" customHeight="1" x14ac:dyDescent="0.15">
      <c r="B1086" s="95"/>
      <c r="C1086" s="440" t="s">
        <v>942</v>
      </c>
      <c r="D1086" s="95"/>
      <c r="E1086" s="141"/>
      <c r="F1086" s="94" t="s">
        <v>768</v>
      </c>
      <c r="G1086" s="505">
        <v>1</v>
      </c>
      <c r="H1086" s="463" t="str">
        <f t="shared" si="1293"/>
        <v>도장작업시보양작업㎡</v>
      </c>
      <c r="I1086" s="451" t="str">
        <f t="shared" si="1297"/>
        <v>도장작업시보양작업㎡</v>
      </c>
      <c r="J1086" s="506">
        <f>VLOOKUP($H1086,목록!$A:$K,8,FALSE)</f>
        <v>1384</v>
      </c>
      <c r="K1086" s="507">
        <f t="shared" si="1298"/>
        <v>1384</v>
      </c>
      <c r="L1086" s="506">
        <f>VLOOKUP($H1086,목록!$A:$K,9,FALSE)</f>
        <v>1602</v>
      </c>
      <c r="M1086" s="507">
        <f>IF(L1086="","",TRUNC($G1086*L1086,0))</f>
        <v>1602</v>
      </c>
      <c r="N1086" s="506" t="str">
        <f>VLOOKUP($H1086,목록!$A:$K,10,FALSE)</f>
        <v/>
      </c>
      <c r="O1086" s="507" t="str">
        <f>IF(N1086="","",TRUNC($G1086*N1086,0))</f>
        <v/>
      </c>
      <c r="P1086" s="508"/>
      <c r="Q1086" s="509" t="str">
        <f>"제"&amp;VLOOKUP($H:$H,목록!$A:$B,2,FALSE)&amp;"호표"</f>
        <v>제40호표</v>
      </c>
      <c r="R1086" s="550"/>
      <c r="S1086" s="131"/>
      <c r="T1086" s="470" t="str">
        <f t="shared" si="1289"/>
        <v>제40호표</v>
      </c>
      <c r="V1086" s="549"/>
      <c r="W1086" s="471">
        <f t="shared" ref="W1086:X1086" si="1311">W1085</f>
        <v>42</v>
      </c>
      <c r="X1086" s="471" t="e">
        <f t="shared" si="1311"/>
        <v>#REF!</v>
      </c>
      <c r="Y1086" s="471" t="e">
        <f t="shared" si="1285"/>
        <v>#REF!</v>
      </c>
      <c r="Z1086" s="471"/>
      <c r="AA1086" s="471"/>
      <c r="AB1086" s="435"/>
    </row>
    <row r="1087" spans="1:40" s="470" customFormat="1" ht="15.75" customHeight="1" x14ac:dyDescent="0.15">
      <c r="B1087" s="95"/>
      <c r="C1087" s="140"/>
      <c r="D1087" s="95"/>
      <c r="E1087" s="141"/>
      <c r="F1087" s="94"/>
      <c r="G1087" s="505"/>
      <c r="H1087" s="463" t="str">
        <f t="shared" si="1293"/>
        <v/>
      </c>
      <c r="I1087" s="451"/>
      <c r="J1087" s="506"/>
      <c r="K1087" s="507"/>
      <c r="L1087" s="506"/>
      <c r="M1087" s="507"/>
      <c r="N1087" s="507"/>
      <c r="O1087" s="507"/>
      <c r="P1087" s="508"/>
      <c r="Q1087" s="512"/>
      <c r="R1087" s="534"/>
      <c r="S1087" s="131"/>
      <c r="T1087" s="470" t="str">
        <f t="shared" si="1289"/>
        <v/>
      </c>
      <c r="V1087" s="549"/>
      <c r="W1087" s="471">
        <f t="shared" ref="W1087:X1087" si="1312">W1086</f>
        <v>42</v>
      </c>
      <c r="X1087" s="471" t="e">
        <f t="shared" si="1312"/>
        <v>#REF!</v>
      </c>
      <c r="Y1087" s="471" t="e">
        <f t="shared" si="1285"/>
        <v>#REF!</v>
      </c>
      <c r="Z1087" s="471"/>
      <c r="AA1087" s="471"/>
      <c r="AB1087" s="435"/>
    </row>
    <row r="1088" spans="1:40" s="470" customFormat="1" ht="15.75" customHeight="1" x14ac:dyDescent="0.15">
      <c r="B1088" s="95"/>
      <c r="C1088" s="140"/>
      <c r="D1088" s="95"/>
      <c r="E1088" s="141"/>
      <c r="F1088" s="94"/>
      <c r="G1088" s="505"/>
      <c r="H1088" s="463" t="str">
        <f t="shared" si="1293"/>
        <v/>
      </c>
      <c r="I1088" s="451"/>
      <c r="J1088" s="506"/>
      <c r="K1088" s="507"/>
      <c r="L1088" s="506"/>
      <c r="M1088" s="507"/>
      <c r="N1088" s="507"/>
      <c r="O1088" s="507"/>
      <c r="P1088" s="508"/>
      <c r="Q1088" s="512"/>
      <c r="R1088" s="534"/>
      <c r="S1088" s="131"/>
      <c r="T1088" s="470" t="str">
        <f t="shared" si="1289"/>
        <v/>
      </c>
      <c r="V1088" s="549"/>
      <c r="W1088" s="471">
        <f t="shared" ref="W1088:X1088" si="1313">W1087</f>
        <v>42</v>
      </c>
      <c r="X1088" s="471" t="e">
        <f t="shared" si="1313"/>
        <v>#REF!</v>
      </c>
      <c r="Y1088" s="471" t="e">
        <f t="shared" si="1285"/>
        <v>#REF!</v>
      </c>
      <c r="Z1088" s="471"/>
      <c r="AA1088" s="471"/>
      <c r="AB1088" s="435"/>
      <c r="AC1088" s="457"/>
    </row>
    <row r="1089" spans="1:40" s="470" customFormat="1" ht="15.75" customHeight="1" x14ac:dyDescent="0.15">
      <c r="B1089" s="95"/>
      <c r="C1089" s="140"/>
      <c r="D1089" s="95"/>
      <c r="E1089" s="141"/>
      <c r="F1089" s="94"/>
      <c r="G1089" s="505"/>
      <c r="H1089" s="463" t="str">
        <f t="shared" si="1293"/>
        <v/>
      </c>
      <c r="I1089" s="451"/>
      <c r="J1089" s="506"/>
      <c r="K1089" s="507"/>
      <c r="L1089" s="506"/>
      <c r="M1089" s="507"/>
      <c r="N1089" s="507"/>
      <c r="O1089" s="507"/>
      <c r="P1089" s="508"/>
      <c r="Q1089" s="512"/>
      <c r="R1089" s="513"/>
      <c r="S1089" s="131"/>
      <c r="T1089" s="470" t="str">
        <f t="shared" si="1289"/>
        <v/>
      </c>
      <c r="V1089" s="549"/>
      <c r="W1089" s="471">
        <f t="shared" ref="W1089:X1089" si="1314">W1088</f>
        <v>42</v>
      </c>
      <c r="X1089" s="471" t="e">
        <f t="shared" si="1314"/>
        <v>#REF!</v>
      </c>
      <c r="Y1089" s="471" t="e">
        <f t="shared" si="1285"/>
        <v>#REF!</v>
      </c>
      <c r="Z1089" s="471"/>
      <c r="AA1089" s="471"/>
      <c r="AB1089" s="435"/>
    </row>
    <row r="1090" spans="1:40" s="470" customFormat="1" ht="15.75" customHeight="1" x14ac:dyDescent="0.15">
      <c r="B1090" s="514" t="s">
        <v>929</v>
      </c>
      <c r="C1090" s="515"/>
      <c r="D1090" s="516"/>
      <c r="E1090" s="517"/>
      <c r="F1090" s="518"/>
      <c r="G1090" s="519"/>
      <c r="H1090" s="463" t="str">
        <f t="shared" si="1293"/>
        <v/>
      </c>
      <c r="I1090" s="520">
        <f>목록!$B$48</f>
        <v>42</v>
      </c>
      <c r="J1090" s="521"/>
      <c r="K1090" s="522">
        <f>SUM(K1076:K1089)</f>
        <v>9287</v>
      </c>
      <c r="L1090" s="521"/>
      <c r="M1090" s="522">
        <f>SUM(M1076:M1089)</f>
        <v>53632</v>
      </c>
      <c r="N1090" s="521"/>
      <c r="O1090" s="522">
        <f>SUM(O1076:O1089)</f>
        <v>0</v>
      </c>
      <c r="P1090" s="523"/>
      <c r="Q1090" s="512"/>
      <c r="R1090" s="513"/>
      <c r="S1090" s="524"/>
      <c r="T1090" s="470" t="str">
        <f t="shared" si="1289"/>
        <v/>
      </c>
      <c r="V1090" s="549"/>
      <c r="W1090" s="471">
        <f t="shared" ref="W1090:X1090" si="1315">W1089</f>
        <v>42</v>
      </c>
      <c r="X1090" s="471" t="e">
        <f t="shared" si="1315"/>
        <v>#REF!</v>
      </c>
      <c r="Y1090" s="471" t="e">
        <f t="shared" si="1285"/>
        <v>#REF!</v>
      </c>
      <c r="Z1090" s="471"/>
      <c r="AA1090" s="471"/>
      <c r="AB1090" s="435"/>
    </row>
    <row r="1091" spans="1:40" s="470" customFormat="1" ht="15.75" customHeight="1" x14ac:dyDescent="0.15">
      <c r="B1091" s="453"/>
      <c r="C1091" s="209"/>
      <c r="D1091" s="95"/>
      <c r="E1091" s="141"/>
      <c r="F1091" s="94"/>
      <c r="G1091" s="505"/>
      <c r="H1091" s="463" t="str">
        <f t="shared" si="1293"/>
        <v/>
      </c>
      <c r="I1091" s="451"/>
      <c r="J1091" s="506"/>
      <c r="K1091" s="507"/>
      <c r="L1091" s="506"/>
      <c r="M1091" s="507"/>
      <c r="N1091" s="507"/>
      <c r="O1091" s="507"/>
      <c r="P1091" s="508"/>
      <c r="Q1091" s="512"/>
      <c r="R1091" s="513"/>
      <c r="S1091" s="131"/>
      <c r="T1091" s="470" t="str">
        <f t="shared" si="1289"/>
        <v/>
      </c>
      <c r="V1091" s="549"/>
      <c r="W1091" s="615">
        <f t="shared" ref="W1091:X1091" si="1316">W1090</f>
        <v>42</v>
      </c>
      <c r="X1091" s="471" t="e">
        <f t="shared" si="1316"/>
        <v>#REF!</v>
      </c>
      <c r="Y1091" s="471" t="e">
        <f t="shared" si="1285"/>
        <v>#REF!</v>
      </c>
      <c r="Z1091" s="471"/>
      <c r="AA1091" s="471"/>
      <c r="AB1091" s="435"/>
    </row>
    <row r="1092" spans="1:40" s="470" customFormat="1" ht="15.75" customHeight="1" x14ac:dyDescent="0.15">
      <c r="A1092" s="457"/>
      <c r="B1092" s="453"/>
      <c r="C1092" s="209" t="s">
        <v>1043</v>
      </c>
      <c r="D1092" s="95"/>
      <c r="E1092" s="141"/>
      <c r="F1092" s="94"/>
      <c r="G1092" s="505"/>
      <c r="H1092" s="463" t="str">
        <f t="shared" si="1293"/>
        <v>※ 2014년 건축표준품셈 : 17-7 바니시 및 래커 칠 3. 래커 에나멜 칠</v>
      </c>
      <c r="I1092" s="451"/>
      <c r="J1092" s="506"/>
      <c r="K1092" s="507"/>
      <c r="L1092" s="506"/>
      <c r="M1092" s="507"/>
      <c r="N1092" s="507"/>
      <c r="O1092" s="507"/>
      <c r="P1092" s="508"/>
      <c r="Q1092" s="512"/>
      <c r="R1092" s="513"/>
      <c r="S1092" s="131"/>
      <c r="T1092" s="470" t="str">
        <f t="shared" si="1289"/>
        <v/>
      </c>
      <c r="V1092" s="551"/>
      <c r="W1092" s="471">
        <f t="shared" ref="W1092:X1092" si="1317">W1091</f>
        <v>42</v>
      </c>
      <c r="X1092" s="471" t="e">
        <f t="shared" si="1317"/>
        <v>#REF!</v>
      </c>
      <c r="Y1092" s="471" t="e">
        <f t="shared" si="1285"/>
        <v>#REF!</v>
      </c>
      <c r="Z1092" s="471"/>
      <c r="AA1092" s="471"/>
      <c r="AB1092" s="435"/>
    </row>
    <row r="1093" spans="1:40" s="470" customFormat="1" ht="15.75" customHeight="1" x14ac:dyDescent="0.15">
      <c r="B1093" s="514"/>
      <c r="C1093" s="209"/>
      <c r="D1093" s="516"/>
      <c r="E1093" s="517"/>
      <c r="F1093" s="518"/>
      <c r="G1093" s="519"/>
      <c r="H1093" s="463" t="str">
        <f t="shared" si="1293"/>
        <v/>
      </c>
      <c r="I1093" s="520"/>
      <c r="J1093" s="521"/>
      <c r="K1093" s="522"/>
      <c r="L1093" s="521"/>
      <c r="M1093" s="522"/>
      <c r="N1093" s="521"/>
      <c r="O1093" s="522"/>
      <c r="P1093" s="523"/>
      <c r="Q1093" s="512"/>
      <c r="R1093" s="513"/>
      <c r="S1093" s="524"/>
      <c r="T1093" s="470" t="str">
        <f t="shared" si="1289"/>
        <v/>
      </c>
      <c r="W1093" s="471">
        <f t="shared" ref="W1093:X1093" si="1318">W1092</f>
        <v>42</v>
      </c>
      <c r="X1093" s="471" t="e">
        <f t="shared" si="1318"/>
        <v>#REF!</v>
      </c>
      <c r="Y1093" s="471" t="e">
        <f t="shared" si="1285"/>
        <v>#REF!</v>
      </c>
      <c r="Z1093" s="471"/>
      <c r="AA1093" s="471"/>
      <c r="AB1093" s="435"/>
      <c r="AC1093" s="457"/>
      <c r="AD1093" s="457"/>
      <c r="AE1093" s="457"/>
    </row>
    <row r="1094" spans="1:40" s="470" customFormat="1" ht="15.75" customHeight="1" x14ac:dyDescent="0.15">
      <c r="B1094" s="457"/>
      <c r="C1094" s="458"/>
      <c r="D1094" s="459"/>
      <c r="E1094" s="460"/>
      <c r="F1094" s="461"/>
      <c r="G1094" s="462"/>
      <c r="H1094" s="463" t="str">
        <f t="shared" si="1293"/>
        <v/>
      </c>
      <c r="I1094" s="464"/>
      <c r="J1094" s="465"/>
      <c r="K1094" s="465"/>
      <c r="L1094" s="465"/>
      <c r="M1094" s="465"/>
      <c r="N1094" s="465"/>
      <c r="O1094" s="466"/>
      <c r="P1094" s="467"/>
      <c r="Q1094" s="468"/>
      <c r="R1094" s="469"/>
      <c r="S1094" s="467"/>
      <c r="T1094" s="470" t="str">
        <f t="shared" si="1289"/>
        <v/>
      </c>
      <c r="W1094" s="533">
        <f t="shared" ref="W1094" si="1319">I1116</f>
        <v>43</v>
      </c>
      <c r="X1094" s="533" t="e">
        <f t="shared" ref="X1094" si="1320">X1093+1</f>
        <v>#REF!</v>
      </c>
      <c r="Y1094" s="533" t="e">
        <f t="shared" si="1285"/>
        <v>#REF!</v>
      </c>
      <c r="Z1094" s="533"/>
      <c r="AA1094" s="533"/>
      <c r="AB1094" s="435"/>
    </row>
    <row r="1095" spans="1:40" s="470" customFormat="1" ht="15.75" customHeight="1" x14ac:dyDescent="0.15">
      <c r="A1095" s="457"/>
      <c r="B1095" s="473"/>
      <c r="C1095" s="474" t="str">
        <f>"   항목번호 : "&amp;목록!L$49</f>
        <v xml:space="preserve">   항목번호 : 제43호표</v>
      </c>
      <c r="D1095" s="475">
        <f>목록!B$49</f>
        <v>43</v>
      </c>
      <c r="E1095" s="476"/>
      <c r="F1095" s="477"/>
      <c r="G1095" s="478"/>
      <c r="H1095" s="463" t="str">
        <f t="shared" si="1293"/>
        <v xml:space="preserve">   항목번호 : 제43호표</v>
      </c>
      <c r="I1095" s="479"/>
      <c r="J1095" s="480"/>
      <c r="K1095" s="481"/>
      <c r="L1095" s="482"/>
      <c r="M1095" s="482"/>
      <c r="N1095" s="482"/>
      <c r="O1095" s="466"/>
      <c r="P1095" s="483"/>
      <c r="Q1095" s="484"/>
      <c r="R1095" s="485"/>
      <c r="S1095" s="483"/>
      <c r="T1095" s="470" t="str">
        <f t="shared" si="1289"/>
        <v/>
      </c>
      <c r="V1095" s="551"/>
      <c r="W1095" s="471">
        <f t="shared" ref="W1095:X1095" si="1321">W1094</f>
        <v>43</v>
      </c>
      <c r="X1095" s="471" t="e">
        <f t="shared" si="1321"/>
        <v>#REF!</v>
      </c>
      <c r="Y1095" s="471" t="e">
        <f t="shared" si="1285"/>
        <v>#REF!</v>
      </c>
      <c r="Z1095" s="471"/>
      <c r="AA1095" s="471"/>
      <c r="AB1095" s="435"/>
    </row>
    <row r="1096" spans="1:40" s="470" customFormat="1" ht="15.75" customHeight="1" x14ac:dyDescent="0.15">
      <c r="A1096" s="457"/>
      <c r="B1096" s="473"/>
      <c r="C1096" s="474" t="str">
        <f>"   공      종 : "&amp;목록!D$49</f>
        <v xml:space="preserve">   공      종 : 칼라락카</v>
      </c>
      <c r="D1096" s="484"/>
      <c r="E1096" s="476"/>
      <c r="F1096" s="473"/>
      <c r="G1096" s="478"/>
      <c r="H1096" s="463" t="str">
        <f t="shared" si="1293"/>
        <v xml:space="preserve">   공      종 : 칼라락카</v>
      </c>
      <c r="I1096" s="479"/>
      <c r="J1096" s="480"/>
      <c r="K1096" s="481"/>
      <c r="L1096" s="482"/>
      <c r="M1096" s="482"/>
      <c r="N1096" s="482"/>
      <c r="O1096" s="466"/>
      <c r="P1096" s="483"/>
      <c r="Q1096" s="484"/>
      <c r="R1096" s="485"/>
      <c r="S1096" s="483"/>
      <c r="T1096" s="470" t="str">
        <f t="shared" si="1289"/>
        <v/>
      </c>
      <c r="U1096" s="457"/>
      <c r="W1096" s="471">
        <f t="shared" ref="W1096:X1096" si="1322">W1095</f>
        <v>43</v>
      </c>
      <c r="X1096" s="471" t="e">
        <f t="shared" si="1322"/>
        <v>#REF!</v>
      </c>
      <c r="Y1096" s="471" t="e">
        <f t="shared" si="1285"/>
        <v>#REF!</v>
      </c>
      <c r="Z1096" s="471"/>
      <c r="AA1096" s="471"/>
      <c r="AB1096" s="435"/>
      <c r="AC1096" s="457"/>
      <c r="AD1096" s="457"/>
      <c r="AE1096" s="457"/>
      <c r="AF1096" s="457"/>
      <c r="AG1096" s="457"/>
      <c r="AH1096" s="457"/>
      <c r="AI1096" s="457"/>
      <c r="AJ1096" s="457"/>
      <c r="AK1096" s="457"/>
      <c r="AL1096" s="457"/>
      <c r="AM1096" s="457"/>
      <c r="AN1096" s="457"/>
    </row>
    <row r="1097" spans="1:40" s="457" customFormat="1" ht="15.75" customHeight="1" x14ac:dyDescent="0.15">
      <c r="B1097" s="473"/>
      <c r="C1097" s="474" t="str">
        <f xml:space="preserve"> "   규      격 : "&amp;목록!F$49</f>
        <v xml:space="preserve">   규      격 : 철재면기준</v>
      </c>
      <c r="D1097" s="484"/>
      <c r="E1097" s="476"/>
      <c r="F1097" s="473"/>
      <c r="G1097" s="478"/>
      <c r="H1097" s="463" t="str">
        <f t="shared" si="1293"/>
        <v xml:space="preserve">   규      격 : 철재면기준</v>
      </c>
      <c r="I1097" s="479"/>
      <c r="J1097" s="480" t="s">
        <v>348</v>
      </c>
      <c r="K1097" s="481"/>
      <c r="L1097" s="482" t="s">
        <v>349</v>
      </c>
      <c r="M1097" s="482"/>
      <c r="N1097" s="482" t="s">
        <v>240</v>
      </c>
      <c r="O1097" s="466"/>
      <c r="P1097" s="483"/>
      <c r="Q1097" s="484" t="s">
        <v>802</v>
      </c>
      <c r="R1097" s="484"/>
      <c r="S1097" s="483"/>
      <c r="T1097" s="470" t="str">
        <f t="shared" si="1289"/>
        <v>합계</v>
      </c>
      <c r="V1097" s="547"/>
      <c r="W1097" s="471">
        <f t="shared" ref="W1097:X1097" si="1323">W1096</f>
        <v>43</v>
      </c>
      <c r="X1097" s="471" t="e">
        <f t="shared" si="1323"/>
        <v>#REF!</v>
      </c>
      <c r="Y1097" s="471" t="e">
        <f t="shared" si="1285"/>
        <v>#REF!</v>
      </c>
      <c r="Z1097" s="471"/>
      <c r="AA1097" s="471"/>
      <c r="AB1097" s="435"/>
    </row>
    <row r="1098" spans="1:40" s="457" customFormat="1" ht="15.75" customHeight="1" x14ac:dyDescent="0.15">
      <c r="B1098" s="473"/>
      <c r="C1098" s="474" t="str">
        <f>"   단      위 : "&amp;목록!G$49</f>
        <v xml:space="preserve">   단      위 : ㎡</v>
      </c>
      <c r="D1098" s="484"/>
      <c r="E1098" s="476"/>
      <c r="F1098" s="473"/>
      <c r="G1098" s="478"/>
      <c r="H1098" s="463" t="str">
        <f t="shared" si="1293"/>
        <v xml:space="preserve">   단      위 : ㎡</v>
      </c>
      <c r="I1098" s="479"/>
      <c r="J1098" s="486">
        <f>K1116</f>
        <v>10204</v>
      </c>
      <c r="K1098" s="481"/>
      <c r="L1098" s="487">
        <f>M1116</f>
        <v>61065</v>
      </c>
      <c r="M1098" s="482"/>
      <c r="N1098" s="482">
        <f>O1116</f>
        <v>0</v>
      </c>
      <c r="O1098" s="466"/>
      <c r="P1098" s="483"/>
      <c r="Q1098" s="488">
        <f>J1098+L1098+N1098</f>
        <v>71269</v>
      </c>
      <c r="R1098" s="489"/>
      <c r="S1098" s="483"/>
      <c r="T1098" s="470" t="str">
        <f t="shared" si="1289"/>
        <v>71269</v>
      </c>
      <c r="V1098" s="547"/>
      <c r="W1098" s="471">
        <f t="shared" ref="W1098:X1098" si="1324">W1097</f>
        <v>43</v>
      </c>
      <c r="X1098" s="471" t="e">
        <f t="shared" si="1324"/>
        <v>#REF!</v>
      </c>
      <c r="Y1098" s="471" t="e">
        <f t="shared" si="1285"/>
        <v>#REF!</v>
      </c>
      <c r="Z1098" s="471"/>
      <c r="AA1098" s="471"/>
      <c r="AB1098" s="435"/>
    </row>
    <row r="1099" spans="1:40" s="457" customFormat="1" ht="15.75" customHeight="1" x14ac:dyDescent="0.15">
      <c r="B1099" s="473"/>
      <c r="C1099" s="474"/>
      <c r="D1099" s="484"/>
      <c r="E1099" s="476"/>
      <c r="F1099" s="473"/>
      <c r="G1099" s="490"/>
      <c r="H1099" s="463" t="str">
        <f t="shared" si="1293"/>
        <v/>
      </c>
      <c r="I1099" s="491"/>
      <c r="J1099" s="482"/>
      <c r="K1099" s="465"/>
      <c r="L1099" s="482"/>
      <c r="M1099" s="482"/>
      <c r="N1099" s="482"/>
      <c r="O1099" s="466"/>
      <c r="P1099" s="492"/>
      <c r="Q1099" s="493"/>
      <c r="R1099" s="485"/>
      <c r="S1099" s="492"/>
      <c r="T1099" s="470" t="str">
        <f t="shared" si="1289"/>
        <v/>
      </c>
      <c r="V1099" s="547"/>
      <c r="W1099" s="471">
        <f t="shared" ref="W1099:X1099" si="1325">W1098</f>
        <v>43</v>
      </c>
      <c r="X1099" s="471" t="e">
        <f t="shared" si="1325"/>
        <v>#REF!</v>
      </c>
      <c r="Y1099" s="471" t="e">
        <f t="shared" si="1285"/>
        <v>#REF!</v>
      </c>
      <c r="Z1099" s="471"/>
      <c r="AA1099" s="471"/>
      <c r="AB1099" s="435"/>
    </row>
    <row r="1100" spans="1:40" s="457" customFormat="1" ht="15.75" customHeight="1" x14ac:dyDescent="0.15">
      <c r="B1100" s="899" t="s">
        <v>375</v>
      </c>
      <c r="C1100" s="900"/>
      <c r="D1100" s="907" t="s">
        <v>356</v>
      </c>
      <c r="E1100" s="908"/>
      <c r="F1100" s="903" t="s">
        <v>806</v>
      </c>
      <c r="G1100" s="913" t="s">
        <v>807</v>
      </c>
      <c r="H1100" s="463" t="str">
        <f t="shared" si="1293"/>
        <v>단위</v>
      </c>
      <c r="I1100" s="494"/>
      <c r="J1100" s="495" t="s">
        <v>348</v>
      </c>
      <c r="K1100" s="496"/>
      <c r="L1100" s="495" t="s">
        <v>349</v>
      </c>
      <c r="M1100" s="496"/>
      <c r="N1100" s="497" t="s">
        <v>240</v>
      </c>
      <c r="O1100" s="497"/>
      <c r="P1100" s="498"/>
      <c r="Q1100" s="744" t="s">
        <v>355</v>
      </c>
      <c r="R1100" s="744"/>
      <c r="S1100" s="499"/>
      <c r="T1100" s="470" t="str">
        <f t="shared" si="1289"/>
        <v>비  고</v>
      </c>
      <c r="V1100" s="547"/>
      <c r="W1100" s="471">
        <f t="shared" ref="W1100:X1100" si="1326">W1099</f>
        <v>43</v>
      </c>
      <c r="X1100" s="471" t="e">
        <f t="shared" si="1326"/>
        <v>#REF!</v>
      </c>
      <c r="Y1100" s="471" t="e">
        <f t="shared" si="1285"/>
        <v>#REF!</v>
      </c>
      <c r="Z1100" s="471"/>
      <c r="AA1100" s="471"/>
      <c r="AB1100" s="435"/>
    </row>
    <row r="1101" spans="1:40" s="457" customFormat="1" ht="15.75" customHeight="1" x14ac:dyDescent="0.15">
      <c r="B1101" s="901"/>
      <c r="C1101" s="902"/>
      <c r="D1101" s="909"/>
      <c r="E1101" s="910"/>
      <c r="F1101" s="904"/>
      <c r="G1101" s="914"/>
      <c r="H1101" s="463" t="str">
        <f t="shared" si="1293"/>
        <v/>
      </c>
      <c r="I1101" s="500"/>
      <c r="J1101" s="501" t="s">
        <v>353</v>
      </c>
      <c r="K1101" s="501" t="s">
        <v>354</v>
      </c>
      <c r="L1101" s="501" t="s">
        <v>353</v>
      </c>
      <c r="M1101" s="502" t="s">
        <v>354</v>
      </c>
      <c r="N1101" s="501" t="s">
        <v>353</v>
      </c>
      <c r="O1101" s="501" t="s">
        <v>354</v>
      </c>
      <c r="P1101" s="503"/>
      <c r="Q1101" s="745"/>
      <c r="R1101" s="745"/>
      <c r="S1101" s="504"/>
      <c r="T1101" s="470" t="str">
        <f t="shared" si="1289"/>
        <v/>
      </c>
      <c r="V1101" s="547"/>
      <c r="W1101" s="471">
        <f t="shared" ref="W1101:X1101" si="1327">W1100</f>
        <v>43</v>
      </c>
      <c r="X1101" s="471" t="e">
        <f t="shared" si="1327"/>
        <v>#REF!</v>
      </c>
      <c r="Y1101" s="471" t="e">
        <f t="shared" si="1285"/>
        <v>#REF!</v>
      </c>
      <c r="Z1101" s="471"/>
      <c r="AA1101" s="471"/>
      <c r="AB1101" s="435"/>
    </row>
    <row r="1102" spans="1:40" s="457" customFormat="1" ht="15.75" customHeight="1" x14ac:dyDescent="0.15">
      <c r="A1102" s="547"/>
      <c r="B1102" s="95"/>
      <c r="C1102" s="214" t="s">
        <v>935</v>
      </c>
      <c r="D1102" s="213"/>
      <c r="E1102" s="541" t="s">
        <v>936</v>
      </c>
      <c r="F1102" s="94" t="s">
        <v>360</v>
      </c>
      <c r="G1102" s="505">
        <v>0.35</v>
      </c>
      <c r="H1102" s="463" t="str">
        <f t="shared" si="1293"/>
        <v>락카프라이머LAA049ℓ</v>
      </c>
      <c r="I1102" s="451" t="str">
        <f t="shared" ref="I1102:I1111" si="1328">CONCATENATE(C1102,E1102,F1102)</f>
        <v>락카프라이머LAA049ℓ</v>
      </c>
      <c r="J1102" s="506">
        <f>IF(OR($F1102="인",$F1102=""),"",VLOOKUP($H1102,단가!$A:$S,19,FALSE))</f>
        <v>6025</v>
      </c>
      <c r="K1102" s="507">
        <f t="shared" ref="K1102:K1111" si="1329">IF(J1102="","",TRUNC($G1102*J1102,0))</f>
        <v>2108</v>
      </c>
      <c r="L1102" s="506" t="str">
        <f>IF($F1102="인",VLOOKUP($C:$C,노임!$C:$G,4,FALSE),"")</f>
        <v/>
      </c>
      <c r="M1102" s="507" t="str">
        <f t="shared" ref="M1102:M1109" si="1330">IF(L1102="","",TRUNC($G1102*L1102,0))</f>
        <v/>
      </c>
      <c r="N1102" s="507"/>
      <c r="O1102" s="507" t="str">
        <f t="shared" ref="O1102:O1109" si="1331">IF(N1102="","",TRUNC($G1102*N1102,0))</f>
        <v/>
      </c>
      <c r="P1102" s="508"/>
      <c r="Q1102" s="509" t="str">
        <f>IF(F1102="인","노임"&amp;VLOOKUP($C:$C,노임!C:G,5,FALSE)&amp;"번","단가"&amp;VLOOKUP($H:$H,단가!$A:$B,2,FALSE)&amp;"번")</f>
        <v>단가31번</v>
      </c>
      <c r="R1102" s="510"/>
      <c r="S1102" s="131"/>
      <c r="T1102" s="470" t="str">
        <f t="shared" si="1289"/>
        <v>단가31번</v>
      </c>
      <c r="V1102" s="548"/>
      <c r="W1102" s="471">
        <f t="shared" ref="W1102:X1102" si="1332">W1101</f>
        <v>43</v>
      </c>
      <c r="X1102" s="471" t="e">
        <f t="shared" si="1332"/>
        <v>#REF!</v>
      </c>
      <c r="Y1102" s="471" t="e">
        <f t="shared" si="1285"/>
        <v>#REF!</v>
      </c>
      <c r="Z1102" s="471"/>
      <c r="AA1102" s="471"/>
      <c r="AB1102" s="435"/>
    </row>
    <row r="1103" spans="1:40" s="457" customFormat="1" ht="15.75" customHeight="1" x14ac:dyDescent="0.15">
      <c r="A1103" s="547"/>
      <c r="B1103" s="95"/>
      <c r="C1103" s="140" t="s">
        <v>943</v>
      </c>
      <c r="D1103" s="95"/>
      <c r="E1103" s="141"/>
      <c r="F1103" s="207" t="s">
        <v>360</v>
      </c>
      <c r="G1103" s="505">
        <v>0.2</v>
      </c>
      <c r="H1103" s="463" t="str">
        <f t="shared" si="1293"/>
        <v>미네랄스피릿ℓ</v>
      </c>
      <c r="I1103" s="451" t="str">
        <f t="shared" si="1328"/>
        <v>미네랄스피릿ℓ</v>
      </c>
      <c r="J1103" s="506">
        <f>IF(OR($F1103="인",$F1103=""),"",VLOOKUP($H1103,단가!$A:$S,19,FALSE))</f>
        <v>2500</v>
      </c>
      <c r="K1103" s="507">
        <f t="shared" si="1329"/>
        <v>500</v>
      </c>
      <c r="L1103" s="506" t="str">
        <f>IF($F1103="인",VLOOKUP($C:$C,노임!$C:$G,4,FALSE),"")</f>
        <v/>
      </c>
      <c r="M1103" s="507" t="str">
        <f t="shared" si="1330"/>
        <v/>
      </c>
      <c r="N1103" s="507"/>
      <c r="O1103" s="507" t="str">
        <f t="shared" si="1331"/>
        <v/>
      </c>
      <c r="P1103" s="508"/>
      <c r="Q1103" s="509" t="str">
        <f>IF(F1103="인","노임"&amp;VLOOKUP($C:$C,노임!C:G,5,FALSE)&amp;"번","단가"&amp;VLOOKUP($H:$H,단가!$A:$B,2,FALSE)&amp;"번")</f>
        <v>단가73번</v>
      </c>
      <c r="R1103" s="510"/>
      <c r="S1103" s="131"/>
      <c r="T1103" s="470" t="str">
        <f t="shared" si="1289"/>
        <v>단가73번</v>
      </c>
      <c r="V1103" s="548"/>
      <c r="W1103" s="471">
        <f t="shared" ref="W1103:X1103" si="1333">W1102</f>
        <v>43</v>
      </c>
      <c r="X1103" s="471" t="e">
        <f t="shared" si="1333"/>
        <v>#REF!</v>
      </c>
      <c r="Y1103" s="471" t="e">
        <f t="shared" si="1285"/>
        <v>#REF!</v>
      </c>
      <c r="Z1103" s="471"/>
      <c r="AA1103" s="471"/>
      <c r="AB1103" s="435"/>
    </row>
    <row r="1104" spans="1:40" s="457" customFormat="1" ht="15.75" customHeight="1" x14ac:dyDescent="0.15">
      <c r="A1104" s="470"/>
      <c r="B1104" s="95"/>
      <c r="C1104" s="215" t="s">
        <v>934</v>
      </c>
      <c r="D1104" s="205"/>
      <c r="E1104" s="566" t="s">
        <v>376</v>
      </c>
      <c r="F1104" s="207" t="s">
        <v>360</v>
      </c>
      <c r="G1104" s="505">
        <v>0.3</v>
      </c>
      <c r="H1104" s="463" t="str">
        <f t="shared" si="1293"/>
        <v>오일샤페사U711W4001ℓ</v>
      </c>
      <c r="I1104" s="451" t="str">
        <f t="shared" si="1328"/>
        <v>오일샤페사U711W4001ℓ</v>
      </c>
      <c r="J1104" s="506">
        <f>IF(OR($F1104="인",$F1104=""),"",VLOOKUP($H1104,단가!$A:$S,19,FALSE))</f>
        <v>5288</v>
      </c>
      <c r="K1104" s="507">
        <f t="shared" si="1329"/>
        <v>1586</v>
      </c>
      <c r="L1104" s="506" t="str">
        <f>IF($F1104="인",VLOOKUP($C:$C,노임!$C:$G,4,FALSE),"")</f>
        <v/>
      </c>
      <c r="M1104" s="507" t="str">
        <f t="shared" si="1330"/>
        <v/>
      </c>
      <c r="N1104" s="507"/>
      <c r="O1104" s="507" t="str">
        <f t="shared" si="1331"/>
        <v/>
      </c>
      <c r="P1104" s="508"/>
      <c r="Q1104" s="509" t="str">
        <f>IF(F1104="인","노임"&amp;VLOOKUP($C:$C,노임!C:G,5,FALSE)&amp;"번","단가"&amp;VLOOKUP($H:$H,단가!$A:$B,2,FALSE)&amp;"번")</f>
        <v>단가41번</v>
      </c>
      <c r="R1104" s="510"/>
      <c r="S1104" s="131"/>
      <c r="T1104" s="470" t="str">
        <f t="shared" si="1289"/>
        <v>단가41번</v>
      </c>
      <c r="V1104" s="549"/>
      <c r="W1104" s="471">
        <f t="shared" ref="W1104:X1104" si="1334">W1103</f>
        <v>43</v>
      </c>
      <c r="X1104" s="471" t="e">
        <f t="shared" si="1334"/>
        <v>#REF!</v>
      </c>
      <c r="Y1104" s="471" t="e">
        <f t="shared" si="1285"/>
        <v>#REF!</v>
      </c>
      <c r="Z1104" s="471"/>
      <c r="AA1104" s="471"/>
      <c r="AB1104" s="435"/>
      <c r="AF1104" s="470"/>
      <c r="AG1104" s="470"/>
      <c r="AH1104" s="470"/>
      <c r="AI1104" s="470"/>
      <c r="AJ1104" s="470"/>
      <c r="AK1104" s="470"/>
      <c r="AL1104" s="470"/>
      <c r="AM1104" s="470"/>
    </row>
    <row r="1105" spans="1:40" s="457" customFormat="1" ht="15.75" customHeight="1" x14ac:dyDescent="0.15">
      <c r="A1105" s="470"/>
      <c r="B1105" s="95"/>
      <c r="C1105" s="192" t="s">
        <v>926</v>
      </c>
      <c r="D1105" s="205"/>
      <c r="E1105" s="565" t="s">
        <v>937</v>
      </c>
      <c r="F1105" s="207" t="s">
        <v>360</v>
      </c>
      <c r="G1105" s="505">
        <v>0.05</v>
      </c>
      <c r="H1105" s="463" t="str">
        <f t="shared" si="1293"/>
        <v>신너KSM6060-3ℓ</v>
      </c>
      <c r="I1105" s="451" t="str">
        <f t="shared" si="1328"/>
        <v>신너KSM6060-3ℓ</v>
      </c>
      <c r="J1105" s="506">
        <f>IF(OR($F1105="인",$F1105=""),"",VLOOKUP($H1105,단가!$A:$S,19,FALSE))</f>
        <v>1780</v>
      </c>
      <c r="K1105" s="507">
        <f t="shared" si="1329"/>
        <v>89</v>
      </c>
      <c r="L1105" s="506" t="str">
        <f>IF($F1105="인",VLOOKUP($C:$C,노임!$C:$G,4,FALSE),"")</f>
        <v/>
      </c>
      <c r="M1105" s="507" t="str">
        <f t="shared" si="1330"/>
        <v/>
      </c>
      <c r="N1105" s="507"/>
      <c r="O1105" s="507" t="str">
        <f t="shared" si="1331"/>
        <v/>
      </c>
      <c r="P1105" s="508"/>
      <c r="Q1105" s="509" t="str">
        <f>IF(F1105="인","노임"&amp;VLOOKUP($C:$C,노임!C:G,5,FALSE)&amp;"번","단가"&amp;VLOOKUP($H:$H,단가!$A:$B,2,FALSE)&amp;"번")</f>
        <v>단가34번</v>
      </c>
      <c r="R1105" s="510"/>
      <c r="S1105" s="131"/>
      <c r="T1105" s="470" t="str">
        <f t="shared" si="1289"/>
        <v>단가34번</v>
      </c>
      <c r="U1105" s="470"/>
      <c r="V1105" s="549"/>
      <c r="W1105" s="471">
        <f t="shared" ref="W1105:X1105" si="1335">W1104</f>
        <v>43</v>
      </c>
      <c r="X1105" s="471" t="e">
        <f t="shared" si="1335"/>
        <v>#REF!</v>
      </c>
      <c r="Y1105" s="471" t="e">
        <f t="shared" si="1285"/>
        <v>#REF!</v>
      </c>
      <c r="Z1105" s="471"/>
      <c r="AA1105" s="471"/>
      <c r="AB1105" s="435"/>
      <c r="AC1105" s="470"/>
      <c r="AD1105" s="470"/>
      <c r="AE1105" s="470"/>
      <c r="AF1105" s="470"/>
      <c r="AG1105" s="470"/>
      <c r="AH1105" s="470"/>
      <c r="AI1105" s="470"/>
      <c r="AJ1105" s="470"/>
      <c r="AK1105" s="470"/>
      <c r="AL1105" s="470"/>
      <c r="AM1105" s="470"/>
      <c r="AN1105" s="470"/>
    </row>
    <row r="1106" spans="1:40" s="470" customFormat="1" ht="15.75" customHeight="1" x14ac:dyDescent="0.15">
      <c r="B1106" s="95"/>
      <c r="C1106" s="209" t="s">
        <v>938</v>
      </c>
      <c r="D1106" s="95"/>
      <c r="E1106" s="141" t="s">
        <v>939</v>
      </c>
      <c r="F1106" s="94" t="s">
        <v>360</v>
      </c>
      <c r="G1106" s="505">
        <v>0.5</v>
      </c>
      <c r="H1106" s="463" t="str">
        <f t="shared" si="1293"/>
        <v>칼라락카CL440-1000ℓ</v>
      </c>
      <c r="I1106" s="451" t="str">
        <f t="shared" si="1328"/>
        <v>칼라락카CL440-1000ℓ</v>
      </c>
      <c r="J1106" s="506">
        <f>IF(OR($F1106="인",$F1106=""),"",VLOOKUP($H1106,단가!$A:$S,19,FALSE))</f>
        <v>6738</v>
      </c>
      <c r="K1106" s="507">
        <f t="shared" si="1329"/>
        <v>3369</v>
      </c>
      <c r="L1106" s="506" t="str">
        <f>IF($F1106="인",VLOOKUP($C:$C,노임!$C:$G,4,FALSE),"")</f>
        <v/>
      </c>
      <c r="M1106" s="507" t="str">
        <f t="shared" si="1330"/>
        <v/>
      </c>
      <c r="N1106" s="507"/>
      <c r="O1106" s="507" t="str">
        <f t="shared" si="1331"/>
        <v/>
      </c>
      <c r="P1106" s="508"/>
      <c r="Q1106" s="509" t="str">
        <f>IF(F1106="인","노임"&amp;VLOOKUP($C:$C,노임!C:G,5,FALSE)&amp;"번","단가"&amp;VLOOKUP($H:$H,단가!$A:$B,2,FALSE)&amp;"번")</f>
        <v>단가35번</v>
      </c>
      <c r="R1106" s="510"/>
      <c r="S1106" s="131"/>
      <c r="T1106" s="470" t="str">
        <f t="shared" si="1289"/>
        <v>단가35번</v>
      </c>
      <c r="V1106" s="549"/>
      <c r="W1106" s="471">
        <f t="shared" ref="W1106:X1106" si="1336">W1105</f>
        <v>43</v>
      </c>
      <c r="X1106" s="471" t="e">
        <f t="shared" si="1336"/>
        <v>#REF!</v>
      </c>
      <c r="Y1106" s="471" t="e">
        <f t="shared" si="1285"/>
        <v>#REF!</v>
      </c>
      <c r="Z1106" s="471"/>
      <c r="AA1106" s="471"/>
      <c r="AB1106" s="435"/>
    </row>
    <row r="1107" spans="1:40" s="470" customFormat="1" ht="15.75" customHeight="1" x14ac:dyDescent="0.15">
      <c r="B1107" s="95"/>
      <c r="C1107" s="140" t="s">
        <v>830</v>
      </c>
      <c r="D1107" s="95"/>
      <c r="E1107" s="141" t="s">
        <v>831</v>
      </c>
      <c r="F1107" s="96" t="s">
        <v>812</v>
      </c>
      <c r="G1107" s="505">
        <v>0.625</v>
      </c>
      <c r="H1107" s="463" t="str">
        <f t="shared" si="1293"/>
        <v>연마지#120매</v>
      </c>
      <c r="I1107" s="451" t="str">
        <f t="shared" si="1328"/>
        <v>연마지#120매</v>
      </c>
      <c r="J1107" s="506">
        <f>IF(OR($F1107="인",$F1107=""),"",VLOOKUP($H1107,단가!$A:$S,19,FALSE))</f>
        <v>200</v>
      </c>
      <c r="K1107" s="507">
        <f t="shared" si="1329"/>
        <v>125</v>
      </c>
      <c r="L1107" s="506" t="str">
        <f>IF($F1107="인",VLOOKUP($C:$C,노임!$C:$G,4,FALSE),"")</f>
        <v/>
      </c>
      <c r="M1107" s="507" t="str">
        <f t="shared" si="1330"/>
        <v/>
      </c>
      <c r="N1107" s="507"/>
      <c r="O1107" s="507" t="str">
        <f t="shared" si="1331"/>
        <v/>
      </c>
      <c r="P1107" s="508"/>
      <c r="Q1107" s="509" t="str">
        <f>IF(F1107="인","노임"&amp;VLOOKUP($C:$C,노임!C:G,5,FALSE)&amp;"번","단가"&amp;VLOOKUP($H:$H,단가!$A:$B,2,FALSE)&amp;"번")</f>
        <v>단가57번</v>
      </c>
      <c r="R1107" s="510"/>
      <c r="S1107" s="131"/>
      <c r="T1107" s="470" t="str">
        <f t="shared" si="1289"/>
        <v>단가57번</v>
      </c>
      <c r="V1107" s="549"/>
      <c r="W1107" s="471">
        <f t="shared" ref="W1107:X1107" si="1337">W1106</f>
        <v>43</v>
      </c>
      <c r="X1107" s="471" t="e">
        <f t="shared" si="1337"/>
        <v>#REF!</v>
      </c>
      <c r="Y1107" s="471" t="e">
        <f t="shared" si="1285"/>
        <v>#REF!</v>
      </c>
      <c r="Z1107" s="471"/>
      <c r="AA1107" s="471"/>
      <c r="AB1107" s="435"/>
    </row>
    <row r="1108" spans="1:40" s="470" customFormat="1" ht="15.75" customHeight="1" x14ac:dyDescent="0.15">
      <c r="B1108" s="95"/>
      <c r="C1108" s="140" t="s">
        <v>828</v>
      </c>
      <c r="D1108" s="95"/>
      <c r="E1108" s="141" t="s">
        <v>940</v>
      </c>
      <c r="F1108" s="96" t="s">
        <v>800</v>
      </c>
      <c r="G1108" s="505">
        <v>0.09</v>
      </c>
      <c r="H1108" s="463" t="str">
        <f t="shared" si="1293"/>
        <v>퍼티MC-319Kg</v>
      </c>
      <c r="I1108" s="451" t="str">
        <f t="shared" si="1328"/>
        <v>퍼티MC-319Kg</v>
      </c>
      <c r="J1108" s="506">
        <f>IF(OR($F1108="인",$F1108=""),"",VLOOKUP($H1108,단가!$A:$S,19,FALSE))</f>
        <v>3090</v>
      </c>
      <c r="K1108" s="507">
        <f t="shared" si="1329"/>
        <v>278</v>
      </c>
      <c r="L1108" s="506" t="str">
        <f>IF($F1108="인",VLOOKUP($C:$C,노임!$C:$G,4,FALSE),"")</f>
        <v/>
      </c>
      <c r="M1108" s="507" t="str">
        <f t="shared" si="1330"/>
        <v/>
      </c>
      <c r="N1108" s="507"/>
      <c r="O1108" s="507" t="str">
        <f t="shared" si="1331"/>
        <v/>
      </c>
      <c r="P1108" s="508"/>
      <c r="Q1108" s="509" t="str">
        <f>IF(F1108="인","노임"&amp;VLOOKUP($C:$C,노임!C:G,5,FALSE)&amp;"번","단가"&amp;VLOOKUP($H:$H,단가!$A:$B,2,FALSE)&amp;"번")</f>
        <v>단가38번</v>
      </c>
      <c r="R1108" s="510"/>
      <c r="S1108" s="131"/>
      <c r="T1108" s="470" t="str">
        <f t="shared" si="1289"/>
        <v>단가38번</v>
      </c>
      <c r="V1108" s="549"/>
      <c r="W1108" s="471">
        <f t="shared" ref="W1108:X1108" si="1338">W1107</f>
        <v>43</v>
      </c>
      <c r="X1108" s="471" t="e">
        <f t="shared" si="1338"/>
        <v>#REF!</v>
      </c>
      <c r="Y1108" s="471" t="e">
        <f t="shared" si="1285"/>
        <v>#REF!</v>
      </c>
      <c r="Z1108" s="471"/>
      <c r="AA1108" s="471"/>
      <c r="AB1108" s="435"/>
    </row>
    <row r="1109" spans="1:40" s="470" customFormat="1" ht="15.75" customHeight="1" x14ac:dyDescent="0.15">
      <c r="B1109" s="95"/>
      <c r="C1109" s="140" t="s">
        <v>817</v>
      </c>
      <c r="D1109" s="95"/>
      <c r="E1109" s="141"/>
      <c r="F1109" s="207" t="s">
        <v>750</v>
      </c>
      <c r="G1109" s="505">
        <v>0.4</v>
      </c>
      <c r="H1109" s="463" t="str">
        <f t="shared" si="1293"/>
        <v>도장공인</v>
      </c>
      <c r="I1109" s="451" t="str">
        <f t="shared" si="1328"/>
        <v>도장공인</v>
      </c>
      <c r="J1109" s="506" t="str">
        <f>IF(OR($F1109="인",$F1109=""),"",VLOOKUP($H1109,단가!$A:$S,19,FALSE))</f>
        <v/>
      </c>
      <c r="K1109" s="507" t="str">
        <f t="shared" si="1329"/>
        <v/>
      </c>
      <c r="L1109" s="506">
        <f>IF($F1109="인",VLOOKUP($C:$C,노임!$C:$G,4,FALSE),"")</f>
        <v>148659</v>
      </c>
      <c r="M1109" s="507">
        <f t="shared" si="1330"/>
        <v>59463</v>
      </c>
      <c r="N1109" s="507"/>
      <c r="O1109" s="507" t="str">
        <f t="shared" si="1331"/>
        <v/>
      </c>
      <c r="P1109" s="508"/>
      <c r="Q1109" s="509" t="str">
        <f>IF(F1109="인","노임"&amp;VLOOKUP($C:$C,노임!C:G,5,FALSE)&amp;"번","단가"&amp;VLOOKUP($H:$H,단가!$A:$B,2,FALSE)&amp;"번")</f>
        <v>노임1029번</v>
      </c>
      <c r="R1109" s="510"/>
      <c r="S1109" s="131"/>
      <c r="T1109" s="470" t="str">
        <f t="shared" si="1289"/>
        <v>노임1029번</v>
      </c>
      <c r="V1109" s="549"/>
      <c r="W1109" s="471">
        <f t="shared" ref="W1109:X1109" si="1339">W1108</f>
        <v>43</v>
      </c>
      <c r="X1109" s="471" t="e">
        <f t="shared" si="1339"/>
        <v>#REF!</v>
      </c>
      <c r="Y1109" s="471" t="e">
        <f t="shared" si="1285"/>
        <v>#REF!</v>
      </c>
      <c r="Z1109" s="471"/>
      <c r="AA1109" s="471"/>
      <c r="AB1109" s="435"/>
    </row>
    <row r="1110" spans="1:40" s="470" customFormat="1" ht="15.75" customHeight="1" x14ac:dyDescent="0.15">
      <c r="B1110" s="95"/>
      <c r="C1110" s="440" t="s">
        <v>927</v>
      </c>
      <c r="D1110" s="95"/>
      <c r="E1110" s="141" t="s">
        <v>941</v>
      </c>
      <c r="F1110" s="207" t="s">
        <v>777</v>
      </c>
      <c r="G1110" s="505">
        <v>1</v>
      </c>
      <c r="H1110" s="463" t="str">
        <f t="shared" si="1293"/>
        <v>소모재료비주재료비의10%식</v>
      </c>
      <c r="I1110" s="451" t="str">
        <f t="shared" si="1328"/>
        <v>소모재료비주재료비의10%식</v>
      </c>
      <c r="J1110" s="506">
        <f>TRUNC((K1102+K1103+K1104+K1105+K1106)*10%,0)</f>
        <v>765</v>
      </c>
      <c r="K1110" s="507">
        <f t="shared" si="1329"/>
        <v>765</v>
      </c>
      <c r="L1110" s="506"/>
      <c r="M1110" s="507"/>
      <c r="N1110" s="507"/>
      <c r="O1110" s="507"/>
      <c r="P1110" s="508"/>
      <c r="Q1110" s="512"/>
      <c r="R1110" s="534"/>
      <c r="S1110" s="131"/>
      <c r="T1110" s="470" t="str">
        <f t="shared" si="1289"/>
        <v/>
      </c>
      <c r="V1110" s="549"/>
      <c r="W1110" s="471">
        <f t="shared" ref="W1110:X1110" si="1340">W1109</f>
        <v>43</v>
      </c>
      <c r="X1110" s="471" t="e">
        <f t="shared" si="1340"/>
        <v>#REF!</v>
      </c>
      <c r="Y1110" s="471" t="e">
        <f t="shared" si="1285"/>
        <v>#REF!</v>
      </c>
      <c r="Z1110" s="471"/>
      <c r="AA1110" s="471"/>
      <c r="AB1110" s="435"/>
    </row>
    <row r="1111" spans="1:40" s="470" customFormat="1" ht="15.75" customHeight="1" x14ac:dyDescent="0.15">
      <c r="B1111" s="95"/>
      <c r="C1111" s="440" t="s">
        <v>942</v>
      </c>
      <c r="D1111" s="95"/>
      <c r="E1111" s="141"/>
      <c r="F1111" s="94" t="s">
        <v>768</v>
      </c>
      <c r="G1111" s="505">
        <v>1</v>
      </c>
      <c r="H1111" s="463" t="str">
        <f t="shared" si="1293"/>
        <v>도장작업시보양작업㎡</v>
      </c>
      <c r="I1111" s="451" t="str">
        <f t="shared" si="1328"/>
        <v>도장작업시보양작업㎡</v>
      </c>
      <c r="J1111" s="506">
        <f>VLOOKUP($H1111,목록!$A:$K,8,FALSE)</f>
        <v>1384</v>
      </c>
      <c r="K1111" s="507">
        <f t="shared" si="1329"/>
        <v>1384</v>
      </c>
      <c r="L1111" s="506">
        <f>VLOOKUP($H1111,목록!$A:$K,9,FALSE)</f>
        <v>1602</v>
      </c>
      <c r="M1111" s="507">
        <f>IF(L1111="","",TRUNC($G1111*L1111,0))</f>
        <v>1602</v>
      </c>
      <c r="N1111" s="506" t="str">
        <f>VLOOKUP($H1111,목록!$A:$K,10,FALSE)</f>
        <v/>
      </c>
      <c r="O1111" s="507" t="str">
        <f>IF(N1111="","",TRUNC($G1111*N1111,0))</f>
        <v/>
      </c>
      <c r="P1111" s="508"/>
      <c r="Q1111" s="509" t="str">
        <f>"제"&amp;VLOOKUP($H:$H,목록!$A:$B,2,FALSE)&amp;"호표"</f>
        <v>제40호표</v>
      </c>
      <c r="R1111" s="550"/>
      <c r="S1111" s="131"/>
      <c r="T1111" s="470" t="str">
        <f t="shared" si="1289"/>
        <v>제40호표</v>
      </c>
      <c r="V1111" s="549"/>
      <c r="W1111" s="471">
        <f t="shared" ref="W1111:X1111" si="1341">W1110</f>
        <v>43</v>
      </c>
      <c r="X1111" s="471" t="e">
        <f t="shared" si="1341"/>
        <v>#REF!</v>
      </c>
      <c r="Y1111" s="471" t="e">
        <f t="shared" si="1285"/>
        <v>#REF!</v>
      </c>
      <c r="Z1111" s="471"/>
      <c r="AA1111" s="471"/>
      <c r="AB1111" s="435"/>
    </row>
    <row r="1112" spans="1:40" s="470" customFormat="1" ht="15.75" customHeight="1" x14ac:dyDescent="0.15">
      <c r="B1112" s="95"/>
      <c r="C1112" s="140"/>
      <c r="D1112" s="95"/>
      <c r="E1112" s="141"/>
      <c r="F1112" s="94"/>
      <c r="G1112" s="505"/>
      <c r="H1112" s="463" t="str">
        <f t="shared" si="1293"/>
        <v/>
      </c>
      <c r="I1112" s="451"/>
      <c r="J1112" s="506"/>
      <c r="K1112" s="507"/>
      <c r="L1112" s="506"/>
      <c r="M1112" s="507"/>
      <c r="N1112" s="507"/>
      <c r="O1112" s="507"/>
      <c r="P1112" s="508"/>
      <c r="Q1112" s="512"/>
      <c r="R1112" s="513"/>
      <c r="S1112" s="131"/>
      <c r="T1112" s="470" t="str">
        <f t="shared" si="1289"/>
        <v/>
      </c>
      <c r="V1112" s="549"/>
      <c r="W1112" s="471">
        <f t="shared" ref="W1112:X1112" si="1342">W1111</f>
        <v>43</v>
      </c>
      <c r="X1112" s="471" t="e">
        <f t="shared" si="1342"/>
        <v>#REF!</v>
      </c>
      <c r="Y1112" s="471" t="e">
        <f t="shared" si="1285"/>
        <v>#REF!</v>
      </c>
      <c r="Z1112" s="471"/>
      <c r="AA1112" s="471"/>
      <c r="AB1112" s="435"/>
    </row>
    <row r="1113" spans="1:40" s="470" customFormat="1" ht="15.75" customHeight="1" x14ac:dyDescent="0.15">
      <c r="B1113" s="95"/>
      <c r="C1113" s="140"/>
      <c r="D1113" s="95"/>
      <c r="E1113" s="141"/>
      <c r="F1113" s="94"/>
      <c r="G1113" s="505"/>
      <c r="H1113" s="463" t="str">
        <f t="shared" si="1293"/>
        <v/>
      </c>
      <c r="I1113" s="451"/>
      <c r="J1113" s="506"/>
      <c r="K1113" s="507"/>
      <c r="L1113" s="506"/>
      <c r="M1113" s="507"/>
      <c r="N1113" s="507"/>
      <c r="O1113" s="507"/>
      <c r="P1113" s="508"/>
      <c r="Q1113" s="512"/>
      <c r="R1113" s="534"/>
      <c r="S1113" s="131"/>
      <c r="T1113" s="470" t="str">
        <f t="shared" si="1289"/>
        <v/>
      </c>
      <c r="V1113" s="549"/>
      <c r="W1113" s="471">
        <f t="shared" ref="W1113:X1113" si="1343">W1112</f>
        <v>43</v>
      </c>
      <c r="X1113" s="471" t="e">
        <f t="shared" si="1343"/>
        <v>#REF!</v>
      </c>
      <c r="Y1113" s="471" t="e">
        <f t="shared" si="1285"/>
        <v>#REF!</v>
      </c>
      <c r="Z1113" s="471"/>
      <c r="AA1113" s="471"/>
      <c r="AB1113" s="435"/>
    </row>
    <row r="1114" spans="1:40" s="470" customFormat="1" ht="15.75" customHeight="1" x14ac:dyDescent="0.15">
      <c r="B1114" s="95"/>
      <c r="C1114" s="140"/>
      <c r="D1114" s="95"/>
      <c r="E1114" s="141"/>
      <c r="F1114" s="94"/>
      <c r="G1114" s="505"/>
      <c r="H1114" s="463" t="str">
        <f t="shared" si="1293"/>
        <v/>
      </c>
      <c r="I1114" s="451"/>
      <c r="J1114" s="506"/>
      <c r="K1114" s="507"/>
      <c r="L1114" s="506"/>
      <c r="M1114" s="507"/>
      <c r="N1114" s="507"/>
      <c r="O1114" s="507"/>
      <c r="P1114" s="508"/>
      <c r="Q1114" s="512"/>
      <c r="R1114" s="534"/>
      <c r="S1114" s="131"/>
      <c r="T1114" s="470" t="str">
        <f t="shared" si="1289"/>
        <v/>
      </c>
      <c r="V1114" s="549"/>
      <c r="W1114" s="471">
        <f t="shared" ref="W1114:X1114" si="1344">W1113</f>
        <v>43</v>
      </c>
      <c r="X1114" s="471" t="e">
        <f t="shared" si="1344"/>
        <v>#REF!</v>
      </c>
      <c r="Y1114" s="471" t="e">
        <f t="shared" si="1285"/>
        <v>#REF!</v>
      </c>
      <c r="Z1114" s="471"/>
      <c r="AA1114" s="471"/>
      <c r="AB1114" s="435"/>
    </row>
    <row r="1115" spans="1:40" s="470" customFormat="1" ht="15.75" customHeight="1" x14ac:dyDescent="0.15">
      <c r="B1115" s="95"/>
      <c r="C1115" s="140"/>
      <c r="D1115" s="95"/>
      <c r="E1115" s="141"/>
      <c r="F1115" s="94"/>
      <c r="G1115" s="505"/>
      <c r="H1115" s="463" t="str">
        <f t="shared" si="1293"/>
        <v/>
      </c>
      <c r="I1115" s="451"/>
      <c r="J1115" s="506"/>
      <c r="K1115" s="507"/>
      <c r="L1115" s="506"/>
      <c r="M1115" s="507"/>
      <c r="N1115" s="507"/>
      <c r="O1115" s="507"/>
      <c r="P1115" s="508"/>
      <c r="Q1115" s="512"/>
      <c r="R1115" s="513"/>
      <c r="S1115" s="131"/>
      <c r="T1115" s="470" t="str">
        <f t="shared" si="1289"/>
        <v/>
      </c>
      <c r="V1115" s="549"/>
      <c r="W1115" s="471">
        <f t="shared" ref="W1115:X1115" si="1345">W1114</f>
        <v>43</v>
      </c>
      <c r="X1115" s="471" t="e">
        <f t="shared" si="1345"/>
        <v>#REF!</v>
      </c>
      <c r="Y1115" s="471" t="e">
        <f t="shared" si="1285"/>
        <v>#REF!</v>
      </c>
      <c r="Z1115" s="471"/>
      <c r="AA1115" s="471"/>
      <c r="AB1115" s="435"/>
    </row>
    <row r="1116" spans="1:40" s="470" customFormat="1" ht="15.75" customHeight="1" x14ac:dyDescent="0.15">
      <c r="B1116" s="514" t="s">
        <v>929</v>
      </c>
      <c r="C1116" s="515"/>
      <c r="D1116" s="516"/>
      <c r="E1116" s="517"/>
      <c r="F1116" s="518"/>
      <c r="G1116" s="519"/>
      <c r="H1116" s="463" t="str">
        <f t="shared" si="1293"/>
        <v/>
      </c>
      <c r="I1116" s="520">
        <f>목록!$B$49</f>
        <v>43</v>
      </c>
      <c r="J1116" s="521"/>
      <c r="K1116" s="522">
        <f>SUM(K1102:K1115)</f>
        <v>10204</v>
      </c>
      <c r="L1116" s="521"/>
      <c r="M1116" s="522">
        <f>SUM(M1102:M1115)</f>
        <v>61065</v>
      </c>
      <c r="N1116" s="521"/>
      <c r="O1116" s="522">
        <f>SUM(O1102:O1115)</f>
        <v>0</v>
      </c>
      <c r="P1116" s="523"/>
      <c r="Q1116" s="512"/>
      <c r="R1116" s="513"/>
      <c r="S1116" s="524"/>
      <c r="T1116" s="470" t="str">
        <f t="shared" si="1289"/>
        <v/>
      </c>
      <c r="V1116" s="549"/>
      <c r="W1116" s="471">
        <f t="shared" ref="W1116:X1116" si="1346">W1115</f>
        <v>43</v>
      </c>
      <c r="X1116" s="471" t="e">
        <f t="shared" si="1346"/>
        <v>#REF!</v>
      </c>
      <c r="Y1116" s="471" t="e">
        <f t="shared" si="1285"/>
        <v>#REF!</v>
      </c>
      <c r="Z1116" s="471"/>
      <c r="AA1116" s="471"/>
      <c r="AB1116" s="435"/>
    </row>
    <row r="1117" spans="1:40" s="470" customFormat="1" ht="15.75" customHeight="1" x14ac:dyDescent="0.15">
      <c r="B1117" s="453"/>
      <c r="C1117" s="209"/>
      <c r="D1117" s="95"/>
      <c r="E1117" s="141"/>
      <c r="F1117" s="94"/>
      <c r="G1117" s="505"/>
      <c r="H1117" s="463" t="str">
        <f t="shared" si="1293"/>
        <v/>
      </c>
      <c r="I1117" s="451"/>
      <c r="J1117" s="506"/>
      <c r="K1117" s="507"/>
      <c r="L1117" s="506"/>
      <c r="M1117" s="507"/>
      <c r="N1117" s="507"/>
      <c r="O1117" s="507"/>
      <c r="P1117" s="508"/>
      <c r="Q1117" s="512"/>
      <c r="R1117" s="513"/>
      <c r="S1117" s="131"/>
      <c r="T1117" s="470" t="str">
        <f t="shared" si="1289"/>
        <v/>
      </c>
      <c r="V1117" s="549"/>
      <c r="W1117" s="615">
        <f t="shared" ref="W1117:X1117" si="1347">W1116</f>
        <v>43</v>
      </c>
      <c r="X1117" s="471" t="e">
        <f t="shared" si="1347"/>
        <v>#REF!</v>
      </c>
      <c r="Y1117" s="471" t="e">
        <f t="shared" si="1285"/>
        <v>#REF!</v>
      </c>
      <c r="Z1117" s="471"/>
      <c r="AA1117" s="471"/>
      <c r="AB1117" s="435"/>
    </row>
    <row r="1118" spans="1:40" s="470" customFormat="1" ht="15.75" customHeight="1" x14ac:dyDescent="0.15">
      <c r="A1118" s="457"/>
      <c r="B1118" s="453"/>
      <c r="C1118" s="209" t="s">
        <v>1043</v>
      </c>
      <c r="D1118" s="95"/>
      <c r="E1118" s="141"/>
      <c r="F1118" s="94"/>
      <c r="G1118" s="505"/>
      <c r="H1118" s="463" t="str">
        <f t="shared" si="1293"/>
        <v>※ 2014년 건축표준품셈 : 17-7 바니시 및 래커 칠 3. 래커 에나멜 칠</v>
      </c>
      <c r="I1118" s="451"/>
      <c r="J1118" s="506"/>
      <c r="K1118" s="507"/>
      <c r="L1118" s="506"/>
      <c r="M1118" s="507"/>
      <c r="N1118" s="507"/>
      <c r="O1118" s="507"/>
      <c r="P1118" s="508"/>
      <c r="Q1118" s="512"/>
      <c r="R1118" s="513"/>
      <c r="S1118" s="131"/>
      <c r="T1118" s="470" t="str">
        <f t="shared" si="1289"/>
        <v/>
      </c>
      <c r="V1118" s="551"/>
      <c r="W1118" s="471">
        <f t="shared" ref="W1118:X1118" si="1348">W1117</f>
        <v>43</v>
      </c>
      <c r="X1118" s="471" t="e">
        <f t="shared" si="1348"/>
        <v>#REF!</v>
      </c>
      <c r="Y1118" s="471" t="e">
        <f t="shared" si="1285"/>
        <v>#REF!</v>
      </c>
      <c r="Z1118" s="471"/>
      <c r="AA1118" s="471"/>
      <c r="AB1118" s="435"/>
    </row>
    <row r="1119" spans="1:40" s="470" customFormat="1" ht="15.75" customHeight="1" x14ac:dyDescent="0.15">
      <c r="B1119" s="514"/>
      <c r="C1119" s="209"/>
      <c r="D1119" s="516"/>
      <c r="E1119" s="517"/>
      <c r="F1119" s="518"/>
      <c r="G1119" s="519"/>
      <c r="H1119" s="463" t="str">
        <f t="shared" si="1293"/>
        <v/>
      </c>
      <c r="I1119" s="520"/>
      <c r="J1119" s="521"/>
      <c r="K1119" s="522"/>
      <c r="L1119" s="521"/>
      <c r="M1119" s="522"/>
      <c r="N1119" s="521"/>
      <c r="O1119" s="522"/>
      <c r="P1119" s="523"/>
      <c r="Q1119" s="512"/>
      <c r="R1119" s="513"/>
      <c r="S1119" s="524"/>
      <c r="T1119" s="470" t="str">
        <f t="shared" si="1289"/>
        <v/>
      </c>
      <c r="U1119" s="457"/>
      <c r="W1119" s="471">
        <f t="shared" ref="W1119:X1119" si="1349">W1118</f>
        <v>43</v>
      </c>
      <c r="X1119" s="471" t="e">
        <f t="shared" si="1349"/>
        <v>#REF!</v>
      </c>
      <c r="Y1119" s="471" t="e">
        <f t="shared" si="1285"/>
        <v>#REF!</v>
      </c>
      <c r="Z1119" s="471"/>
      <c r="AA1119" s="471"/>
      <c r="AB1119" s="435"/>
      <c r="AC1119" s="457"/>
      <c r="AD1119" s="457"/>
      <c r="AE1119" s="457"/>
      <c r="AN1119" s="457"/>
    </row>
    <row r="1120" spans="1:40" s="470" customFormat="1" ht="15.75" customHeight="1" x14ac:dyDescent="0.15">
      <c r="B1120" s="457"/>
      <c r="C1120" s="458"/>
      <c r="D1120" s="459"/>
      <c r="E1120" s="460"/>
      <c r="F1120" s="461"/>
      <c r="G1120" s="462"/>
      <c r="H1120" s="463" t="str">
        <f t="shared" ref="H1120:H1145" si="1350">CONCATENATE(C1120,E1120,F1120)</f>
        <v/>
      </c>
      <c r="I1120" s="464"/>
      <c r="J1120" s="465"/>
      <c r="K1120" s="465"/>
      <c r="L1120" s="465"/>
      <c r="M1120" s="465"/>
      <c r="N1120" s="465"/>
      <c r="O1120" s="466"/>
      <c r="P1120" s="467"/>
      <c r="Q1120" s="468"/>
      <c r="R1120" s="469"/>
      <c r="S1120" s="467"/>
      <c r="T1120" s="470" t="str">
        <f t="shared" si="1289"/>
        <v/>
      </c>
      <c r="W1120" s="533">
        <f t="shared" ref="W1120" si="1351">I1142</f>
        <v>44</v>
      </c>
      <c r="X1120" s="533" t="e">
        <f t="shared" ref="X1120" si="1352">X1119+1</f>
        <v>#REF!</v>
      </c>
      <c r="Y1120" s="533" t="e">
        <f t="shared" si="1285"/>
        <v>#REF!</v>
      </c>
      <c r="Z1120" s="533"/>
      <c r="AA1120" s="533"/>
      <c r="AB1120" s="435"/>
    </row>
    <row r="1121" spans="1:40" s="470" customFormat="1" ht="15.75" customHeight="1" x14ac:dyDescent="0.15">
      <c r="A1121" s="457"/>
      <c r="B1121" s="473"/>
      <c r="C1121" s="474" t="str">
        <f>"   항목번호 : "&amp;목록!L$50</f>
        <v xml:space="preserve">   항목번호 : 제44호표</v>
      </c>
      <c r="D1121" s="475">
        <f>목록!B$50</f>
        <v>44</v>
      </c>
      <c r="E1121" s="476"/>
      <c r="F1121" s="477"/>
      <c r="G1121" s="478"/>
      <c r="H1121" s="463" t="str">
        <f t="shared" si="1350"/>
        <v xml:space="preserve">   항목번호 : 제44호표</v>
      </c>
      <c r="I1121" s="479"/>
      <c r="J1121" s="480"/>
      <c r="K1121" s="481"/>
      <c r="L1121" s="482"/>
      <c r="M1121" s="482"/>
      <c r="N1121" s="482"/>
      <c r="O1121" s="466"/>
      <c r="P1121" s="483"/>
      <c r="Q1121" s="484"/>
      <c r="R1121" s="485"/>
      <c r="S1121" s="483"/>
      <c r="T1121" s="470" t="str">
        <f t="shared" si="1289"/>
        <v/>
      </c>
      <c r="V1121" s="551"/>
      <c r="W1121" s="471">
        <f t="shared" ref="W1121:X1121" si="1353">W1120</f>
        <v>44</v>
      </c>
      <c r="X1121" s="471" t="e">
        <f t="shared" si="1353"/>
        <v>#REF!</v>
      </c>
      <c r="Y1121" s="471" t="e">
        <f t="shared" si="1285"/>
        <v>#REF!</v>
      </c>
      <c r="Z1121" s="471"/>
      <c r="AA1121" s="471"/>
      <c r="AB1121" s="435"/>
    </row>
    <row r="1122" spans="1:40" s="470" customFormat="1" ht="15.75" customHeight="1" x14ac:dyDescent="0.15">
      <c r="A1122" s="457"/>
      <c r="B1122" s="473"/>
      <c r="C1122" s="474" t="str">
        <f>"   공      종 : "&amp;목록!D$50</f>
        <v xml:space="preserve">   공      종 : 투명락카</v>
      </c>
      <c r="D1122" s="484"/>
      <c r="E1122" s="476"/>
      <c r="F1122" s="473"/>
      <c r="G1122" s="478"/>
      <c r="H1122" s="463" t="str">
        <f t="shared" si="1350"/>
        <v xml:space="preserve">   공      종 : 투명락카</v>
      </c>
      <c r="I1122" s="479"/>
      <c r="J1122" s="480"/>
      <c r="K1122" s="481"/>
      <c r="L1122" s="482"/>
      <c r="M1122" s="482"/>
      <c r="N1122" s="482"/>
      <c r="O1122" s="466"/>
      <c r="P1122" s="483"/>
      <c r="Q1122" s="484"/>
      <c r="R1122" s="485"/>
      <c r="S1122" s="483"/>
      <c r="T1122" s="470" t="str">
        <f t="shared" si="1289"/>
        <v/>
      </c>
      <c r="U1122" s="457"/>
      <c r="W1122" s="471">
        <f t="shared" ref="W1122:X1122" si="1354">W1121</f>
        <v>44</v>
      </c>
      <c r="X1122" s="471" t="e">
        <f t="shared" si="1354"/>
        <v>#REF!</v>
      </c>
      <c r="Y1122" s="471" t="e">
        <f t="shared" si="1285"/>
        <v>#REF!</v>
      </c>
      <c r="Z1122" s="471"/>
      <c r="AA1122" s="471"/>
      <c r="AB1122" s="435"/>
      <c r="AC1122" s="457"/>
      <c r="AD1122" s="457"/>
      <c r="AE1122" s="457"/>
      <c r="AF1122" s="457"/>
      <c r="AG1122" s="457"/>
      <c r="AH1122" s="457"/>
      <c r="AI1122" s="457"/>
      <c r="AJ1122" s="457"/>
      <c r="AK1122" s="457"/>
      <c r="AL1122" s="457"/>
      <c r="AM1122" s="457"/>
      <c r="AN1122" s="457"/>
    </row>
    <row r="1123" spans="1:40" s="457" customFormat="1" ht="15.75" customHeight="1" x14ac:dyDescent="0.15">
      <c r="B1123" s="473"/>
      <c r="C1123" s="474" t="str">
        <f xml:space="preserve"> "   규      격 : "&amp;목록!F$50</f>
        <v xml:space="preserve">   규      격 : 목재면기준</v>
      </c>
      <c r="D1123" s="484"/>
      <c r="E1123" s="476"/>
      <c r="F1123" s="473"/>
      <c r="G1123" s="478"/>
      <c r="H1123" s="463" t="str">
        <f t="shared" si="1350"/>
        <v xml:space="preserve">   규      격 : 목재면기준</v>
      </c>
      <c r="I1123" s="479"/>
      <c r="J1123" s="480" t="s">
        <v>348</v>
      </c>
      <c r="K1123" s="481"/>
      <c r="L1123" s="482" t="s">
        <v>349</v>
      </c>
      <c r="M1123" s="482"/>
      <c r="N1123" s="482" t="s">
        <v>240</v>
      </c>
      <c r="O1123" s="466"/>
      <c r="P1123" s="483"/>
      <c r="Q1123" s="484" t="s">
        <v>723</v>
      </c>
      <c r="R1123" s="484"/>
      <c r="S1123" s="483"/>
      <c r="T1123" s="470" t="str">
        <f t="shared" si="1289"/>
        <v>합계</v>
      </c>
      <c r="V1123" s="547"/>
      <c r="W1123" s="471">
        <f t="shared" ref="W1123:X1123" si="1355">W1122</f>
        <v>44</v>
      </c>
      <c r="X1123" s="471" t="e">
        <f t="shared" si="1355"/>
        <v>#REF!</v>
      </c>
      <c r="Y1123" s="471" t="e">
        <f t="shared" si="1285"/>
        <v>#REF!</v>
      </c>
      <c r="Z1123" s="471"/>
      <c r="AA1123" s="471"/>
      <c r="AB1123" s="435"/>
    </row>
    <row r="1124" spans="1:40" s="457" customFormat="1" ht="15.75" customHeight="1" x14ac:dyDescent="0.15">
      <c r="B1124" s="473"/>
      <c r="C1124" s="474" t="str">
        <f>"   단      위 : "&amp;목록!G$50</f>
        <v xml:space="preserve">   단      위 : ㎡</v>
      </c>
      <c r="D1124" s="484"/>
      <c r="E1124" s="476"/>
      <c r="F1124" s="473"/>
      <c r="G1124" s="478"/>
      <c r="H1124" s="463" t="str">
        <f t="shared" si="1350"/>
        <v xml:space="preserve">   단      위 : ㎡</v>
      </c>
      <c r="I1124" s="479"/>
      <c r="J1124" s="486">
        <f>K1142</f>
        <v>7122</v>
      </c>
      <c r="K1124" s="481"/>
      <c r="L1124" s="487">
        <f>M1142</f>
        <v>59579</v>
      </c>
      <c r="M1124" s="482"/>
      <c r="N1124" s="482">
        <f>O1142</f>
        <v>0</v>
      </c>
      <c r="O1124" s="466"/>
      <c r="P1124" s="483"/>
      <c r="Q1124" s="488">
        <f>J1124+L1124+N1124</f>
        <v>66701</v>
      </c>
      <c r="R1124" s="489"/>
      <c r="S1124" s="483"/>
      <c r="T1124" s="470" t="str">
        <f t="shared" si="1289"/>
        <v>66701</v>
      </c>
      <c r="V1124" s="547"/>
      <c r="W1124" s="471">
        <f t="shared" ref="W1124:X1124" si="1356">W1123</f>
        <v>44</v>
      </c>
      <c r="X1124" s="471" t="e">
        <f t="shared" si="1356"/>
        <v>#REF!</v>
      </c>
      <c r="Y1124" s="471" t="e">
        <f t="shared" si="1285"/>
        <v>#REF!</v>
      </c>
      <c r="Z1124" s="471"/>
      <c r="AA1124" s="471"/>
      <c r="AB1124" s="435"/>
    </row>
    <row r="1125" spans="1:40" s="457" customFormat="1" ht="15.75" customHeight="1" x14ac:dyDescent="0.15">
      <c r="B1125" s="473"/>
      <c r="C1125" s="474"/>
      <c r="D1125" s="484"/>
      <c r="E1125" s="476"/>
      <c r="F1125" s="473"/>
      <c r="G1125" s="490"/>
      <c r="H1125" s="463" t="str">
        <f t="shared" si="1350"/>
        <v/>
      </c>
      <c r="I1125" s="491"/>
      <c r="J1125" s="482"/>
      <c r="K1125" s="465"/>
      <c r="L1125" s="482"/>
      <c r="M1125" s="482"/>
      <c r="N1125" s="482"/>
      <c r="O1125" s="466"/>
      <c r="P1125" s="492"/>
      <c r="Q1125" s="493"/>
      <c r="R1125" s="485"/>
      <c r="S1125" s="492"/>
      <c r="T1125" s="470" t="str">
        <f t="shared" si="1289"/>
        <v/>
      </c>
      <c r="V1125" s="547"/>
      <c r="W1125" s="471">
        <f t="shared" ref="W1125:X1125" si="1357">W1124</f>
        <v>44</v>
      </c>
      <c r="X1125" s="471" t="e">
        <f t="shared" si="1357"/>
        <v>#REF!</v>
      </c>
      <c r="Y1125" s="471" t="e">
        <f t="shared" si="1285"/>
        <v>#REF!</v>
      </c>
      <c r="Z1125" s="471"/>
      <c r="AA1125" s="471"/>
      <c r="AB1125" s="435"/>
    </row>
    <row r="1126" spans="1:40" s="457" customFormat="1" ht="15.75" customHeight="1" x14ac:dyDescent="0.15">
      <c r="B1126" s="899" t="s">
        <v>375</v>
      </c>
      <c r="C1126" s="900"/>
      <c r="D1126" s="907" t="s">
        <v>356</v>
      </c>
      <c r="E1126" s="908"/>
      <c r="F1126" s="903" t="s">
        <v>588</v>
      </c>
      <c r="G1126" s="913" t="s">
        <v>589</v>
      </c>
      <c r="H1126" s="463" t="str">
        <f t="shared" si="1350"/>
        <v>단위</v>
      </c>
      <c r="I1126" s="603"/>
      <c r="J1126" s="495" t="s">
        <v>348</v>
      </c>
      <c r="K1126" s="496"/>
      <c r="L1126" s="495" t="s">
        <v>349</v>
      </c>
      <c r="M1126" s="496"/>
      <c r="N1126" s="497" t="s">
        <v>240</v>
      </c>
      <c r="O1126" s="497"/>
      <c r="P1126" s="498"/>
      <c r="Q1126" s="744" t="s">
        <v>355</v>
      </c>
      <c r="R1126" s="744"/>
      <c r="S1126" s="499"/>
      <c r="T1126" s="470" t="str">
        <f t="shared" si="1289"/>
        <v>비  고</v>
      </c>
      <c r="V1126" s="547"/>
      <c r="W1126" s="471">
        <f t="shared" ref="W1126:X1126" si="1358">W1125</f>
        <v>44</v>
      </c>
      <c r="X1126" s="471" t="e">
        <f t="shared" si="1358"/>
        <v>#REF!</v>
      </c>
      <c r="Y1126" s="471" t="e">
        <f t="shared" si="1285"/>
        <v>#REF!</v>
      </c>
      <c r="Z1126" s="471"/>
      <c r="AA1126" s="471"/>
      <c r="AB1126" s="435"/>
    </row>
    <row r="1127" spans="1:40" s="457" customFormat="1" ht="15.75" customHeight="1" x14ac:dyDescent="0.15">
      <c r="B1127" s="901"/>
      <c r="C1127" s="902"/>
      <c r="D1127" s="909"/>
      <c r="E1127" s="910"/>
      <c r="F1127" s="904"/>
      <c r="G1127" s="914"/>
      <c r="H1127" s="463" t="str">
        <f t="shared" si="1350"/>
        <v/>
      </c>
      <c r="I1127" s="604"/>
      <c r="J1127" s="501" t="s">
        <v>353</v>
      </c>
      <c r="K1127" s="501" t="s">
        <v>354</v>
      </c>
      <c r="L1127" s="501" t="s">
        <v>353</v>
      </c>
      <c r="M1127" s="605" t="s">
        <v>354</v>
      </c>
      <c r="N1127" s="501" t="s">
        <v>353</v>
      </c>
      <c r="O1127" s="501" t="s">
        <v>354</v>
      </c>
      <c r="P1127" s="503"/>
      <c r="Q1127" s="745"/>
      <c r="R1127" s="745"/>
      <c r="S1127" s="504"/>
      <c r="T1127" s="470" t="str">
        <f t="shared" si="1289"/>
        <v/>
      </c>
      <c r="V1127" s="547"/>
      <c r="W1127" s="471">
        <f t="shared" ref="W1127:X1127" si="1359">W1126</f>
        <v>44</v>
      </c>
      <c r="X1127" s="471" t="e">
        <f t="shared" si="1359"/>
        <v>#REF!</v>
      </c>
      <c r="Y1127" s="471" t="e">
        <f t="shared" si="1285"/>
        <v>#REF!</v>
      </c>
      <c r="Z1127" s="471"/>
      <c r="AA1127" s="471"/>
      <c r="AB1127" s="435"/>
    </row>
    <row r="1128" spans="1:40" s="457" customFormat="1" ht="15.75" customHeight="1" x14ac:dyDescent="0.15">
      <c r="A1128" s="547"/>
      <c r="B1128" s="95"/>
      <c r="C1128" s="214" t="s">
        <v>974</v>
      </c>
      <c r="D1128" s="213"/>
      <c r="E1128" s="541" t="s">
        <v>1045</v>
      </c>
      <c r="F1128" s="94" t="s">
        <v>360</v>
      </c>
      <c r="G1128" s="505">
        <v>0.08</v>
      </c>
      <c r="H1128" s="463" t="str">
        <f t="shared" si="1350"/>
        <v>우드필러U711A4001ℓ</v>
      </c>
      <c r="I1128" s="451" t="str">
        <f t="shared" ref="I1128:I1138" si="1360">CONCATENATE(C1128,E1128,F1128)</f>
        <v>우드필러U711A4001ℓ</v>
      </c>
      <c r="J1128" s="506">
        <f>IF(OR($F1128="인",$F1128=""),"",VLOOKUP($H1128,단가!$A:$S,19,FALSE))</f>
        <v>6400</v>
      </c>
      <c r="K1128" s="507">
        <f t="shared" ref="K1128:K1138" si="1361">IF(J1128="","",TRUNC($G1128*J1128,0))</f>
        <v>512</v>
      </c>
      <c r="L1128" s="506" t="str">
        <f>IF($F1128="인",VLOOKUP($C:$C,노임!$C:$G,4,FALSE),"")</f>
        <v/>
      </c>
      <c r="M1128" s="507" t="str">
        <f t="shared" ref="M1128:M1136" si="1362">IF(L1128="","",TRUNC($G1128*L1128,0))</f>
        <v/>
      </c>
      <c r="N1128" s="507"/>
      <c r="O1128" s="507" t="str">
        <f t="shared" ref="O1128:O1136" si="1363">IF(N1128="","",TRUNC($G1128*N1128,0))</f>
        <v/>
      </c>
      <c r="P1128" s="508"/>
      <c r="Q1128" s="509" t="str">
        <f>IF(F1128="인","노임"&amp;VLOOKUP($C:$C,노임!C:G,5,FALSE)&amp;"번","단가"&amp;VLOOKUP($H:$H,단가!$A:$B,2,FALSE)&amp;"번")</f>
        <v>단가43번</v>
      </c>
      <c r="R1128" s="510"/>
      <c r="S1128" s="131"/>
      <c r="T1128" s="470" t="str">
        <f t="shared" si="1289"/>
        <v>단가43번</v>
      </c>
      <c r="V1128" s="548"/>
      <c r="W1128" s="471">
        <f t="shared" ref="W1128:X1128" si="1364">W1127</f>
        <v>44</v>
      </c>
      <c r="X1128" s="471" t="e">
        <f t="shared" si="1364"/>
        <v>#REF!</v>
      </c>
      <c r="Y1128" s="471" t="e">
        <f t="shared" si="1285"/>
        <v>#REF!</v>
      </c>
      <c r="Z1128" s="471"/>
      <c r="AA1128" s="471"/>
      <c r="AB1128" s="435"/>
    </row>
    <row r="1129" spans="1:40" s="457" customFormat="1" ht="15.75" customHeight="1" x14ac:dyDescent="0.15">
      <c r="A1129" s="547"/>
      <c r="B1129" s="95"/>
      <c r="C1129" s="140" t="s">
        <v>828</v>
      </c>
      <c r="D1129" s="95"/>
      <c r="E1129" s="141" t="s">
        <v>940</v>
      </c>
      <c r="F1129" s="96" t="s">
        <v>739</v>
      </c>
      <c r="G1129" s="505">
        <v>0.05</v>
      </c>
      <c r="H1129" s="463" t="str">
        <f t="shared" si="1350"/>
        <v>퍼티MC-319Kg</v>
      </c>
      <c r="I1129" s="451" t="str">
        <f t="shared" si="1360"/>
        <v>퍼티MC-319Kg</v>
      </c>
      <c r="J1129" s="506">
        <f>IF(OR($F1129="인",$F1129=""),"",VLOOKUP($H1129,단가!$A:$S,19,FALSE))</f>
        <v>3090</v>
      </c>
      <c r="K1129" s="507">
        <f t="shared" si="1361"/>
        <v>154</v>
      </c>
      <c r="L1129" s="506" t="str">
        <f>IF($F1129="인",VLOOKUP($C:$C,노임!$C:$G,4,FALSE),"")</f>
        <v/>
      </c>
      <c r="M1129" s="507" t="str">
        <f t="shared" si="1362"/>
        <v/>
      </c>
      <c r="N1129" s="507"/>
      <c r="O1129" s="507" t="str">
        <f t="shared" si="1363"/>
        <v/>
      </c>
      <c r="P1129" s="508"/>
      <c r="Q1129" s="509" t="str">
        <f>IF(F1129="인","노임"&amp;VLOOKUP($C:$C,노임!C:G,5,FALSE)&amp;"번","단가"&amp;VLOOKUP($H:$H,단가!$A:$B,2,FALSE)&amp;"번")</f>
        <v>단가38번</v>
      </c>
      <c r="R1129" s="510"/>
      <c r="S1129" s="131"/>
      <c r="T1129" s="470" t="str">
        <f t="shared" si="1289"/>
        <v>단가38번</v>
      </c>
      <c r="V1129" s="548"/>
      <c r="W1129" s="471">
        <f t="shared" ref="W1129:X1129" si="1365">W1128</f>
        <v>44</v>
      </c>
      <c r="X1129" s="471" t="e">
        <f t="shared" si="1365"/>
        <v>#REF!</v>
      </c>
      <c r="Y1129" s="471" t="e">
        <f t="shared" si="1285"/>
        <v>#REF!</v>
      </c>
      <c r="Z1129" s="471"/>
      <c r="AA1129" s="471"/>
      <c r="AB1129" s="435"/>
    </row>
    <row r="1130" spans="1:40" s="457" customFormat="1" ht="15.75" customHeight="1" x14ac:dyDescent="0.15">
      <c r="A1130" s="470"/>
      <c r="B1130" s="95"/>
      <c r="C1130" s="215" t="s">
        <v>975</v>
      </c>
      <c r="D1130" s="205"/>
      <c r="E1130" s="566" t="s">
        <v>1046</v>
      </c>
      <c r="F1130" s="207" t="s">
        <v>360</v>
      </c>
      <c r="G1130" s="505">
        <v>0.08</v>
      </c>
      <c r="H1130" s="463" t="str">
        <f t="shared" si="1350"/>
        <v>우드실러U711A0001ℓ</v>
      </c>
      <c r="I1130" s="451" t="str">
        <f t="shared" si="1360"/>
        <v>우드실러U711A0001ℓ</v>
      </c>
      <c r="J1130" s="506">
        <f>IF(OR($F1130="인",$F1130=""),"",VLOOKUP($H1130,단가!$A:$S,19,FALSE))</f>
        <v>5600</v>
      </c>
      <c r="K1130" s="507">
        <f t="shared" si="1361"/>
        <v>448</v>
      </c>
      <c r="L1130" s="506" t="str">
        <f>IF($F1130="인",VLOOKUP($C:$C,노임!$C:$G,4,FALSE),"")</f>
        <v/>
      </c>
      <c r="M1130" s="507" t="str">
        <f t="shared" si="1362"/>
        <v/>
      </c>
      <c r="N1130" s="507"/>
      <c r="O1130" s="507" t="str">
        <f t="shared" si="1363"/>
        <v/>
      </c>
      <c r="P1130" s="508"/>
      <c r="Q1130" s="509" t="str">
        <f>IF(F1130="인","노임"&amp;VLOOKUP($C:$C,노임!C:G,5,FALSE)&amp;"번","단가"&amp;VLOOKUP($H:$H,단가!$A:$B,2,FALSE)&amp;"번")</f>
        <v>단가42번</v>
      </c>
      <c r="R1130" s="510"/>
      <c r="S1130" s="131"/>
      <c r="T1130" s="470" t="str">
        <f t="shared" si="1289"/>
        <v>단가42번</v>
      </c>
      <c r="V1130" s="549"/>
      <c r="W1130" s="471">
        <f t="shared" ref="W1130:X1130" si="1366">W1129</f>
        <v>44</v>
      </c>
      <c r="X1130" s="471" t="e">
        <f t="shared" si="1366"/>
        <v>#REF!</v>
      </c>
      <c r="Y1130" s="471" t="e">
        <f t="shared" si="1285"/>
        <v>#REF!</v>
      </c>
      <c r="Z1130" s="471"/>
      <c r="AA1130" s="471"/>
      <c r="AB1130" s="435"/>
      <c r="AF1130" s="470"/>
      <c r="AG1130" s="470"/>
      <c r="AH1130" s="470"/>
      <c r="AI1130" s="470"/>
      <c r="AJ1130" s="470"/>
      <c r="AK1130" s="470"/>
      <c r="AL1130" s="470"/>
      <c r="AM1130" s="470"/>
    </row>
    <row r="1131" spans="1:40" s="457" customFormat="1" ht="15.75" customHeight="1" x14ac:dyDescent="0.15">
      <c r="A1131" s="470"/>
      <c r="B1131" s="95"/>
      <c r="C1131" s="192" t="s">
        <v>924</v>
      </c>
      <c r="D1131" s="205"/>
      <c r="E1131" s="565" t="s">
        <v>937</v>
      </c>
      <c r="F1131" s="207" t="s">
        <v>360</v>
      </c>
      <c r="G1131" s="505">
        <v>0.54</v>
      </c>
      <c r="H1131" s="463" t="str">
        <f t="shared" si="1350"/>
        <v>신너KSM6060-3ℓ</v>
      </c>
      <c r="I1131" s="451" t="str">
        <f t="shared" si="1360"/>
        <v>신너KSM6060-3ℓ</v>
      </c>
      <c r="J1131" s="506">
        <f>IF(OR($F1131="인",$F1131=""),"",VLOOKUP($H1131,단가!$A:$S,19,FALSE))</f>
        <v>1780</v>
      </c>
      <c r="K1131" s="507">
        <f t="shared" si="1361"/>
        <v>961</v>
      </c>
      <c r="L1131" s="506" t="str">
        <f>IF($F1131="인",VLOOKUP($C:$C,노임!$C:$G,4,FALSE),"")</f>
        <v/>
      </c>
      <c r="M1131" s="507" t="str">
        <f t="shared" si="1362"/>
        <v/>
      </c>
      <c r="N1131" s="507"/>
      <c r="O1131" s="507" t="str">
        <f t="shared" si="1363"/>
        <v/>
      </c>
      <c r="P1131" s="508"/>
      <c r="Q1131" s="509" t="str">
        <f>IF(F1131="인","노임"&amp;VLOOKUP($C:$C,노임!C:G,5,FALSE)&amp;"번","단가"&amp;VLOOKUP($H:$H,단가!$A:$B,2,FALSE)&amp;"번")</f>
        <v>단가34번</v>
      </c>
      <c r="R1131" s="510"/>
      <c r="S1131" s="131"/>
      <c r="T1131" s="470" t="str">
        <f t="shared" si="1289"/>
        <v>단가34번</v>
      </c>
      <c r="U1131" s="470"/>
      <c r="V1131" s="549"/>
      <c r="W1131" s="471">
        <f t="shared" ref="W1131:X1131" si="1367">W1130</f>
        <v>44</v>
      </c>
      <c r="X1131" s="471" t="e">
        <f t="shared" si="1367"/>
        <v>#REF!</v>
      </c>
      <c r="Y1131" s="471" t="e">
        <f t="shared" ref="Y1131:Y1145" si="1368">X1131-W1131</f>
        <v>#REF!</v>
      </c>
      <c r="Z1131" s="471"/>
      <c r="AA1131" s="471"/>
      <c r="AB1131" s="435"/>
      <c r="AC1131" s="470"/>
      <c r="AD1131" s="470"/>
      <c r="AE1131" s="470"/>
      <c r="AF1131" s="470"/>
      <c r="AG1131" s="470"/>
      <c r="AH1131" s="470"/>
      <c r="AI1131" s="470"/>
      <c r="AJ1131" s="470"/>
      <c r="AK1131" s="470"/>
      <c r="AL1131" s="470"/>
      <c r="AM1131" s="470"/>
      <c r="AN1131" s="470"/>
    </row>
    <row r="1132" spans="1:40" s="470" customFormat="1" ht="15.75" customHeight="1" x14ac:dyDescent="0.15">
      <c r="B1132" s="95"/>
      <c r="C1132" s="209" t="s">
        <v>976</v>
      </c>
      <c r="D1132" s="95"/>
      <c r="E1132" s="141" t="s">
        <v>977</v>
      </c>
      <c r="F1132" s="94" t="s">
        <v>360</v>
      </c>
      <c r="G1132" s="505">
        <v>0.18</v>
      </c>
      <c r="H1132" s="463" t="str">
        <f t="shared" si="1350"/>
        <v>샌딩실러SB-L-37ℓ</v>
      </c>
      <c r="I1132" s="451" t="str">
        <f t="shared" si="1360"/>
        <v>샌딩실러SB-L-37ℓ</v>
      </c>
      <c r="J1132" s="506">
        <f>IF(OR($F1132="인",$F1132=""),"",VLOOKUP($H1132,단가!$A:$S,19,FALSE))</f>
        <v>8122</v>
      </c>
      <c r="K1132" s="507">
        <f t="shared" si="1361"/>
        <v>1461</v>
      </c>
      <c r="L1132" s="506" t="str">
        <f>IF($F1132="인",VLOOKUP($C:$C,노임!$C:$G,4,FALSE),"")</f>
        <v/>
      </c>
      <c r="M1132" s="507" t="str">
        <f t="shared" si="1362"/>
        <v/>
      </c>
      <c r="N1132" s="507"/>
      <c r="O1132" s="507" t="str">
        <f t="shared" si="1363"/>
        <v/>
      </c>
      <c r="P1132" s="508"/>
      <c r="Q1132" s="509" t="str">
        <f>IF(F1132="인","노임"&amp;VLOOKUP($C:$C,노임!C:G,5,FALSE)&amp;"번","단가"&amp;VLOOKUP($H:$H,단가!$A:$B,2,FALSE)&amp;"번")</f>
        <v>단가87번</v>
      </c>
      <c r="R1132" s="510"/>
      <c r="S1132" s="131"/>
      <c r="T1132" s="470" t="str">
        <f t="shared" si="1289"/>
        <v>단가87번</v>
      </c>
      <c r="V1132" s="549"/>
      <c r="W1132" s="471">
        <f t="shared" ref="W1132:X1132" si="1369">W1131</f>
        <v>44</v>
      </c>
      <c r="X1132" s="471" t="e">
        <f t="shared" si="1369"/>
        <v>#REF!</v>
      </c>
      <c r="Y1132" s="471" t="e">
        <f t="shared" si="1368"/>
        <v>#REF!</v>
      </c>
      <c r="Z1132" s="471"/>
      <c r="AA1132" s="471"/>
      <c r="AB1132" s="435"/>
    </row>
    <row r="1133" spans="1:40" s="470" customFormat="1" ht="15.75" customHeight="1" x14ac:dyDescent="0.15">
      <c r="B1133" s="95"/>
      <c r="C1133" s="140" t="s">
        <v>600</v>
      </c>
      <c r="D1133" s="95"/>
      <c r="E1133" s="141" t="s">
        <v>601</v>
      </c>
      <c r="F1133" s="96" t="s">
        <v>360</v>
      </c>
      <c r="G1133" s="505">
        <v>0.49</v>
      </c>
      <c r="H1133" s="463" t="str">
        <f t="shared" si="1350"/>
        <v>투명락카벽산ℓ</v>
      </c>
      <c r="I1133" s="451" t="str">
        <f t="shared" si="1360"/>
        <v>투명락카벽산ℓ</v>
      </c>
      <c r="J1133" s="506">
        <f>IF(OR($F1133="인",$F1133=""),"",VLOOKUP($H1133,단가!$A:$S,19,FALSE))</f>
        <v>3644</v>
      </c>
      <c r="K1133" s="507">
        <f t="shared" si="1361"/>
        <v>1785</v>
      </c>
      <c r="L1133" s="506" t="str">
        <f>IF($F1133="인",VLOOKUP($C:$C,노임!$C:$G,4,FALSE),"")</f>
        <v/>
      </c>
      <c r="M1133" s="507" t="str">
        <f t="shared" si="1362"/>
        <v/>
      </c>
      <c r="N1133" s="507"/>
      <c r="O1133" s="507" t="str">
        <f t="shared" si="1363"/>
        <v/>
      </c>
      <c r="P1133" s="508"/>
      <c r="Q1133" s="509" t="str">
        <f>IF(F1133="인","노임"&amp;VLOOKUP($C:$C,노임!C:G,5,FALSE)&amp;"번","단가"&amp;VLOOKUP($H:$H,단가!$A:$B,2,FALSE)&amp;"번")</f>
        <v>단가36번</v>
      </c>
      <c r="R1133" s="510"/>
      <c r="S1133" s="131"/>
      <c r="T1133" s="470" t="str">
        <f t="shared" si="1289"/>
        <v>단가36번</v>
      </c>
      <c r="V1133" s="549"/>
      <c r="W1133" s="471">
        <f t="shared" ref="W1133:X1133" si="1370">W1132</f>
        <v>44</v>
      </c>
      <c r="X1133" s="471" t="e">
        <f t="shared" si="1370"/>
        <v>#REF!</v>
      </c>
      <c r="Y1133" s="471" t="e">
        <f t="shared" si="1368"/>
        <v>#REF!</v>
      </c>
      <c r="Z1133" s="471"/>
      <c r="AA1133" s="471"/>
      <c r="AB1133" s="435"/>
    </row>
    <row r="1134" spans="1:40" s="470" customFormat="1" ht="15.75" customHeight="1" x14ac:dyDescent="0.15">
      <c r="B1134" s="95"/>
      <c r="C1134" s="140" t="s">
        <v>368</v>
      </c>
      <c r="D1134" s="95"/>
      <c r="E1134" s="141" t="s">
        <v>458</v>
      </c>
      <c r="F1134" s="96" t="s">
        <v>360</v>
      </c>
      <c r="G1134" s="505">
        <v>0.04</v>
      </c>
      <c r="H1134" s="463" t="str">
        <f>CONCATENATE(C1134,E1134,F1134)</f>
        <v>신너KSM6060-1ℓ</v>
      </c>
      <c r="I1134" s="451" t="str">
        <f>CONCATENATE(C1134,E1134,F1134)</f>
        <v>신너KSM6060-1ℓ</v>
      </c>
      <c r="J1134" s="506">
        <f>IF(OR($F1134="인",$F1134=""),"",VLOOKUP($H1134,단가!$A:$S,19,FALSE))</f>
        <v>1840</v>
      </c>
      <c r="K1134" s="507">
        <f>IF(J1134="","",TRUNC($G1134*J1134,0))</f>
        <v>73</v>
      </c>
      <c r="L1134" s="506" t="str">
        <f>IF($F1134="인",VLOOKUP($C:$C,노임!$C:$G,4,FALSE),"")</f>
        <v/>
      </c>
      <c r="M1134" s="507" t="str">
        <f>IF(L1134="","",TRUNC($G1134*L1134,0))</f>
        <v/>
      </c>
      <c r="N1134" s="507"/>
      <c r="O1134" s="507" t="str">
        <f>IF(N1134="","",TRUNC($G1134*N1134,0))</f>
        <v/>
      </c>
      <c r="P1134" s="508"/>
      <c r="Q1134" s="509" t="str">
        <f>IF(F1134="인","노임"&amp;VLOOKUP($C:$C,노임!C:G,5,FALSE)&amp;"번","단가"&amp;VLOOKUP($H:$H,단가!$A:$B,2,FALSE)&amp;"번")</f>
        <v>단가32번</v>
      </c>
      <c r="R1134" s="510"/>
      <c r="S1134" s="131"/>
      <c r="T1134" s="470" t="str">
        <f t="shared" ref="T1134:T1145" si="1371">CONCATENATE(Q1134,R1134)</f>
        <v>단가32번</v>
      </c>
      <c r="V1134" s="549"/>
      <c r="W1134" s="471">
        <f t="shared" ref="W1134:X1134" si="1372">W1133</f>
        <v>44</v>
      </c>
      <c r="X1134" s="471" t="e">
        <f t="shared" si="1372"/>
        <v>#REF!</v>
      </c>
      <c r="Y1134" s="471" t="e">
        <f t="shared" si="1368"/>
        <v>#REF!</v>
      </c>
      <c r="Z1134" s="471"/>
      <c r="AA1134" s="471"/>
      <c r="AB1134" s="435"/>
    </row>
    <row r="1135" spans="1:40" s="470" customFormat="1" ht="15.75" customHeight="1" x14ac:dyDescent="0.15">
      <c r="B1135" s="95"/>
      <c r="C1135" s="140" t="s">
        <v>830</v>
      </c>
      <c r="D1135" s="95"/>
      <c r="E1135" s="141" t="s">
        <v>831</v>
      </c>
      <c r="F1135" s="96" t="s">
        <v>812</v>
      </c>
      <c r="G1135" s="505">
        <v>0.375</v>
      </c>
      <c r="H1135" s="463" t="str">
        <f t="shared" si="1350"/>
        <v>연마지#120매</v>
      </c>
      <c r="I1135" s="451" t="str">
        <f t="shared" si="1360"/>
        <v>연마지#120매</v>
      </c>
      <c r="J1135" s="506">
        <f>IF(OR($F1135="인",$F1135=""),"",VLOOKUP($H1135,단가!$A:$S,19,FALSE))</f>
        <v>200</v>
      </c>
      <c r="K1135" s="507">
        <f t="shared" si="1361"/>
        <v>75</v>
      </c>
      <c r="L1135" s="506" t="str">
        <f>IF($F1135="인",VLOOKUP($C:$C,노임!$C:$G,4,FALSE),"")</f>
        <v/>
      </c>
      <c r="M1135" s="507" t="str">
        <f t="shared" si="1362"/>
        <v/>
      </c>
      <c r="N1135" s="507"/>
      <c r="O1135" s="507" t="str">
        <f t="shared" si="1363"/>
        <v/>
      </c>
      <c r="P1135" s="508"/>
      <c r="Q1135" s="509" t="str">
        <f>IF(F1135="인","노임"&amp;VLOOKUP($C:$C,노임!C:G,5,FALSE)&amp;"번","단가"&amp;VLOOKUP($H:$H,단가!$A:$B,2,FALSE)&amp;"번")</f>
        <v>단가57번</v>
      </c>
      <c r="R1135" s="510"/>
      <c r="S1135" s="131"/>
      <c r="T1135" s="470" t="str">
        <f t="shared" si="1371"/>
        <v>단가57번</v>
      </c>
      <c r="V1135" s="549"/>
      <c r="W1135" s="471">
        <f t="shared" ref="W1135:X1135" si="1373">W1134</f>
        <v>44</v>
      </c>
      <c r="X1135" s="471" t="e">
        <f t="shared" si="1373"/>
        <v>#REF!</v>
      </c>
      <c r="Y1135" s="471" t="e">
        <f t="shared" si="1368"/>
        <v>#REF!</v>
      </c>
      <c r="Z1135" s="471"/>
      <c r="AA1135" s="471"/>
      <c r="AB1135" s="435"/>
    </row>
    <row r="1136" spans="1:40" s="470" customFormat="1" ht="15.75" customHeight="1" x14ac:dyDescent="0.15">
      <c r="B1136" s="95"/>
      <c r="C1136" s="140" t="s">
        <v>817</v>
      </c>
      <c r="D1136" s="95"/>
      <c r="E1136" s="141"/>
      <c r="F1136" s="207" t="s">
        <v>750</v>
      </c>
      <c r="G1136" s="505">
        <v>0.39</v>
      </c>
      <c r="H1136" s="463" t="str">
        <f t="shared" si="1350"/>
        <v>도장공인</v>
      </c>
      <c r="I1136" s="451" t="str">
        <f t="shared" si="1360"/>
        <v>도장공인</v>
      </c>
      <c r="J1136" s="506" t="str">
        <f>IF(OR($F1136="인",$F1136=""),"",VLOOKUP($H1136,단가!$A:$S,19,FALSE))</f>
        <v/>
      </c>
      <c r="K1136" s="507" t="str">
        <f t="shared" si="1361"/>
        <v/>
      </c>
      <c r="L1136" s="506">
        <f>IF($F1136="인",VLOOKUP($C:$C,노임!$C:$G,4,FALSE),"")</f>
        <v>148659</v>
      </c>
      <c r="M1136" s="507">
        <f t="shared" si="1362"/>
        <v>57977</v>
      </c>
      <c r="N1136" s="507"/>
      <c r="O1136" s="507" t="str">
        <f t="shared" si="1363"/>
        <v/>
      </c>
      <c r="P1136" s="508"/>
      <c r="Q1136" s="509" t="str">
        <f>IF(F1136="인","노임"&amp;VLOOKUP($C:$C,노임!C:G,5,FALSE)&amp;"번","단가"&amp;VLOOKUP($H:$H,단가!$A:$B,2,FALSE)&amp;"번")</f>
        <v>노임1029번</v>
      </c>
      <c r="R1136" s="510"/>
      <c r="S1136" s="131"/>
      <c r="T1136" s="470" t="str">
        <f t="shared" si="1371"/>
        <v>노임1029번</v>
      </c>
      <c r="V1136" s="549"/>
      <c r="W1136" s="471">
        <f t="shared" ref="W1136:X1136" si="1374">W1135</f>
        <v>44</v>
      </c>
      <c r="X1136" s="471" t="e">
        <f t="shared" si="1374"/>
        <v>#REF!</v>
      </c>
      <c r="Y1136" s="471" t="e">
        <f t="shared" si="1368"/>
        <v>#REF!</v>
      </c>
      <c r="Z1136" s="471"/>
      <c r="AA1136" s="471"/>
      <c r="AB1136" s="435"/>
    </row>
    <row r="1137" spans="1:40" s="470" customFormat="1" ht="15.75" customHeight="1" x14ac:dyDescent="0.15">
      <c r="B1137" s="95"/>
      <c r="C1137" s="440" t="s">
        <v>927</v>
      </c>
      <c r="D1137" s="95"/>
      <c r="E1137" s="141" t="s">
        <v>978</v>
      </c>
      <c r="F1137" s="207" t="s">
        <v>539</v>
      </c>
      <c r="G1137" s="505">
        <v>1</v>
      </c>
      <c r="H1137" s="463" t="str">
        <f t="shared" si="1350"/>
        <v>소모재료비주재료비의5%식</v>
      </c>
      <c r="I1137" s="451" t="str">
        <f t="shared" si="1360"/>
        <v>소모재료비주재료비의5%식</v>
      </c>
      <c r="J1137" s="506">
        <f>TRUNC((K1128+K1129+K1130+K1131+K1132+K1133+K1134)*5%,0)</f>
        <v>269</v>
      </c>
      <c r="K1137" s="507">
        <f t="shared" si="1361"/>
        <v>269</v>
      </c>
      <c r="L1137" s="506"/>
      <c r="M1137" s="507"/>
      <c r="N1137" s="507"/>
      <c r="O1137" s="507"/>
      <c r="P1137" s="508"/>
      <c r="Q1137" s="512"/>
      <c r="R1137" s="534"/>
      <c r="S1137" s="131"/>
      <c r="T1137" s="470" t="str">
        <f t="shared" si="1371"/>
        <v/>
      </c>
      <c r="V1137" s="549"/>
      <c r="W1137" s="471">
        <f t="shared" ref="W1137:X1137" si="1375">W1136</f>
        <v>44</v>
      </c>
      <c r="X1137" s="471" t="e">
        <f t="shared" si="1375"/>
        <v>#REF!</v>
      </c>
      <c r="Y1137" s="471" t="e">
        <f t="shared" si="1368"/>
        <v>#REF!</v>
      </c>
      <c r="Z1137" s="471"/>
      <c r="AA1137" s="471"/>
      <c r="AB1137" s="435"/>
    </row>
    <row r="1138" spans="1:40" s="470" customFormat="1" ht="15.75" customHeight="1" x14ac:dyDescent="0.15">
      <c r="B1138" s="95"/>
      <c r="C1138" s="440" t="s">
        <v>746</v>
      </c>
      <c r="D1138" s="95"/>
      <c r="E1138" s="141"/>
      <c r="F1138" s="94" t="s">
        <v>726</v>
      </c>
      <c r="G1138" s="505">
        <v>1</v>
      </c>
      <c r="H1138" s="463" t="str">
        <f t="shared" si="1350"/>
        <v>도장작업시보양작업㎡</v>
      </c>
      <c r="I1138" s="451" t="str">
        <f t="shared" si="1360"/>
        <v>도장작업시보양작업㎡</v>
      </c>
      <c r="J1138" s="506">
        <f>VLOOKUP($H1138,목록!$A:$K,8,FALSE)</f>
        <v>1384</v>
      </c>
      <c r="K1138" s="507">
        <f t="shared" si="1361"/>
        <v>1384</v>
      </c>
      <c r="L1138" s="506">
        <f>VLOOKUP($H1138,목록!$A:$K,9,FALSE)</f>
        <v>1602</v>
      </c>
      <c r="M1138" s="507">
        <f>IF(L1138="","",TRUNC($G1138*L1138,0))</f>
        <v>1602</v>
      </c>
      <c r="N1138" s="506" t="str">
        <f>VLOOKUP($H1138,목록!$A:$K,10,FALSE)</f>
        <v/>
      </c>
      <c r="O1138" s="507" t="str">
        <f>IF(N1138="","",TRUNC($G1138*N1138,0))</f>
        <v/>
      </c>
      <c r="P1138" s="508"/>
      <c r="Q1138" s="509" t="str">
        <f>"제"&amp;VLOOKUP($H:$H,목록!$A:$B,2,FALSE)&amp;"호표"</f>
        <v>제40호표</v>
      </c>
      <c r="R1138" s="550"/>
      <c r="S1138" s="131"/>
      <c r="T1138" s="470" t="str">
        <f t="shared" si="1371"/>
        <v>제40호표</v>
      </c>
      <c r="V1138" s="549"/>
      <c r="W1138" s="471">
        <f t="shared" ref="W1138:X1138" si="1376">W1137</f>
        <v>44</v>
      </c>
      <c r="X1138" s="471" t="e">
        <f t="shared" si="1376"/>
        <v>#REF!</v>
      </c>
      <c r="Y1138" s="471" t="e">
        <f t="shared" si="1368"/>
        <v>#REF!</v>
      </c>
      <c r="Z1138" s="471"/>
      <c r="AA1138" s="471"/>
      <c r="AB1138" s="435"/>
    </row>
    <row r="1139" spans="1:40" s="470" customFormat="1" ht="15.75" customHeight="1" x14ac:dyDescent="0.15">
      <c r="B1139" s="95"/>
      <c r="C1139" s="140"/>
      <c r="D1139" s="95"/>
      <c r="E1139" s="141"/>
      <c r="F1139" s="94"/>
      <c r="G1139" s="505"/>
      <c r="H1139" s="463" t="str">
        <f t="shared" si="1350"/>
        <v/>
      </c>
      <c r="I1139" s="451"/>
      <c r="J1139" s="506"/>
      <c r="K1139" s="507"/>
      <c r="L1139" s="506"/>
      <c r="M1139" s="507"/>
      <c r="N1139" s="507"/>
      <c r="O1139" s="507"/>
      <c r="P1139" s="508"/>
      <c r="Q1139" s="512"/>
      <c r="R1139" s="513"/>
      <c r="S1139" s="131"/>
      <c r="T1139" s="470" t="str">
        <f t="shared" si="1371"/>
        <v/>
      </c>
      <c r="V1139" s="549"/>
      <c r="W1139" s="471">
        <f t="shared" ref="W1139:X1139" si="1377">W1138</f>
        <v>44</v>
      </c>
      <c r="X1139" s="471" t="e">
        <f t="shared" si="1377"/>
        <v>#REF!</v>
      </c>
      <c r="Y1139" s="471" t="e">
        <f t="shared" si="1368"/>
        <v>#REF!</v>
      </c>
      <c r="Z1139" s="471"/>
      <c r="AA1139" s="471"/>
      <c r="AB1139" s="435"/>
    </row>
    <row r="1140" spans="1:40" s="470" customFormat="1" ht="15.75" customHeight="1" x14ac:dyDescent="0.15">
      <c r="B1140" s="95"/>
      <c r="C1140" s="140"/>
      <c r="D1140" s="95"/>
      <c r="E1140" s="141"/>
      <c r="F1140" s="94"/>
      <c r="G1140" s="505"/>
      <c r="H1140" s="463" t="str">
        <f t="shared" si="1350"/>
        <v/>
      </c>
      <c r="I1140" s="451"/>
      <c r="J1140" s="506"/>
      <c r="K1140" s="507"/>
      <c r="L1140" s="506"/>
      <c r="M1140" s="507"/>
      <c r="N1140" s="507"/>
      <c r="O1140" s="507"/>
      <c r="P1140" s="508"/>
      <c r="Q1140" s="512"/>
      <c r="R1140" s="534"/>
      <c r="S1140" s="131"/>
      <c r="T1140" s="470" t="str">
        <f t="shared" si="1371"/>
        <v/>
      </c>
      <c r="V1140" s="549"/>
      <c r="W1140" s="471">
        <f t="shared" ref="W1140:X1140" si="1378">W1139</f>
        <v>44</v>
      </c>
      <c r="X1140" s="471" t="e">
        <f t="shared" si="1378"/>
        <v>#REF!</v>
      </c>
      <c r="Y1140" s="471" t="e">
        <f t="shared" si="1368"/>
        <v>#REF!</v>
      </c>
      <c r="Z1140" s="471"/>
      <c r="AA1140" s="471"/>
      <c r="AB1140" s="435"/>
    </row>
    <row r="1141" spans="1:40" s="470" customFormat="1" ht="15.75" customHeight="1" x14ac:dyDescent="0.15">
      <c r="B1141" s="95"/>
      <c r="C1141" s="140"/>
      <c r="D1141" s="95"/>
      <c r="E1141" s="141"/>
      <c r="F1141" s="94"/>
      <c r="G1141" s="505"/>
      <c r="H1141" s="463" t="str">
        <f t="shared" si="1350"/>
        <v/>
      </c>
      <c r="I1141" s="451"/>
      <c r="J1141" s="506"/>
      <c r="K1141" s="507"/>
      <c r="L1141" s="506"/>
      <c r="M1141" s="507"/>
      <c r="N1141" s="507"/>
      <c r="O1141" s="507"/>
      <c r="P1141" s="508"/>
      <c r="Q1141" s="512"/>
      <c r="R1141" s="513"/>
      <c r="S1141" s="131"/>
      <c r="T1141" s="470" t="str">
        <f t="shared" si="1371"/>
        <v/>
      </c>
      <c r="V1141" s="549"/>
      <c r="W1141" s="471">
        <f t="shared" ref="W1141:X1141" si="1379">W1140</f>
        <v>44</v>
      </c>
      <c r="X1141" s="471" t="e">
        <f t="shared" si="1379"/>
        <v>#REF!</v>
      </c>
      <c r="Y1141" s="471" t="e">
        <f t="shared" si="1368"/>
        <v>#REF!</v>
      </c>
      <c r="Z1141" s="471"/>
      <c r="AA1141" s="471"/>
      <c r="AB1141" s="435"/>
    </row>
    <row r="1142" spans="1:40" s="470" customFormat="1" ht="15.75" customHeight="1" x14ac:dyDescent="0.15">
      <c r="B1142" s="514" t="s">
        <v>346</v>
      </c>
      <c r="C1142" s="515"/>
      <c r="D1142" s="516"/>
      <c r="E1142" s="517"/>
      <c r="F1142" s="518"/>
      <c r="G1142" s="519"/>
      <c r="H1142" s="463" t="str">
        <f t="shared" si="1350"/>
        <v/>
      </c>
      <c r="I1142" s="520">
        <f>목록!$B$50</f>
        <v>44</v>
      </c>
      <c r="J1142" s="521"/>
      <c r="K1142" s="522">
        <f>SUM(K1128:K1141)</f>
        <v>7122</v>
      </c>
      <c r="L1142" s="521"/>
      <c r="M1142" s="522">
        <f>SUM(M1128:M1141)</f>
        <v>59579</v>
      </c>
      <c r="N1142" s="521"/>
      <c r="O1142" s="522">
        <f>SUM(O1128:O1141)</f>
        <v>0</v>
      </c>
      <c r="P1142" s="523"/>
      <c r="Q1142" s="512"/>
      <c r="R1142" s="513"/>
      <c r="S1142" s="524"/>
      <c r="T1142" s="470" t="str">
        <f t="shared" si="1371"/>
        <v/>
      </c>
      <c r="V1142" s="549"/>
      <c r="W1142" s="471">
        <f t="shared" ref="W1142:X1142" si="1380">W1141</f>
        <v>44</v>
      </c>
      <c r="X1142" s="471" t="e">
        <f t="shared" si="1380"/>
        <v>#REF!</v>
      </c>
      <c r="Y1142" s="471" t="e">
        <f t="shared" si="1368"/>
        <v>#REF!</v>
      </c>
      <c r="Z1142" s="471"/>
      <c r="AA1142" s="471"/>
      <c r="AB1142" s="435"/>
    </row>
    <row r="1143" spans="1:40" s="470" customFormat="1" ht="15.75" customHeight="1" x14ac:dyDescent="0.15">
      <c r="B1143" s="453"/>
      <c r="C1143" s="209"/>
      <c r="D1143" s="95"/>
      <c r="E1143" s="141"/>
      <c r="F1143" s="94"/>
      <c r="G1143" s="505"/>
      <c r="H1143" s="463" t="str">
        <f t="shared" si="1350"/>
        <v/>
      </c>
      <c r="I1143" s="451"/>
      <c r="J1143" s="506"/>
      <c r="K1143" s="507"/>
      <c r="L1143" s="506"/>
      <c r="M1143" s="507"/>
      <c r="N1143" s="507"/>
      <c r="O1143" s="507"/>
      <c r="P1143" s="508"/>
      <c r="Q1143" s="512"/>
      <c r="R1143" s="513"/>
      <c r="S1143" s="131"/>
      <c r="T1143" s="470" t="str">
        <f t="shared" si="1371"/>
        <v/>
      </c>
      <c r="V1143" s="549"/>
      <c r="W1143" s="615">
        <f t="shared" ref="W1143:X1143" si="1381">W1142</f>
        <v>44</v>
      </c>
      <c r="X1143" s="471" t="e">
        <f t="shared" si="1381"/>
        <v>#REF!</v>
      </c>
      <c r="Y1143" s="471" t="e">
        <f t="shared" si="1368"/>
        <v>#REF!</v>
      </c>
      <c r="Z1143" s="471"/>
      <c r="AA1143" s="471"/>
      <c r="AB1143" s="435"/>
    </row>
    <row r="1144" spans="1:40" s="470" customFormat="1" ht="15.75" customHeight="1" x14ac:dyDescent="0.15">
      <c r="A1144" s="457"/>
      <c r="B1144" s="453"/>
      <c r="C1144" s="209" t="s">
        <v>1044</v>
      </c>
      <c r="D1144" s="95"/>
      <c r="E1144" s="141"/>
      <c r="F1144" s="94"/>
      <c r="G1144" s="505"/>
      <c r="H1144" s="463" t="str">
        <f t="shared" si="1350"/>
        <v>※ 2014년 건축표준품셈 : 17-7 바니시 및 래커 칠 2. 클리어(투명)래커 칠</v>
      </c>
      <c r="I1144" s="451"/>
      <c r="J1144" s="506"/>
      <c r="K1144" s="507"/>
      <c r="L1144" s="506"/>
      <c r="M1144" s="507"/>
      <c r="N1144" s="507"/>
      <c r="O1144" s="507"/>
      <c r="P1144" s="508"/>
      <c r="Q1144" s="512"/>
      <c r="R1144" s="513"/>
      <c r="S1144" s="131"/>
      <c r="T1144" s="470" t="str">
        <f t="shared" si="1371"/>
        <v/>
      </c>
      <c r="V1144" s="551"/>
      <c r="W1144" s="471">
        <f t="shared" ref="W1144:X1144" si="1382">W1143</f>
        <v>44</v>
      </c>
      <c r="X1144" s="471" t="e">
        <f t="shared" si="1382"/>
        <v>#REF!</v>
      </c>
      <c r="Y1144" s="471" t="e">
        <f t="shared" si="1368"/>
        <v>#REF!</v>
      </c>
      <c r="Z1144" s="471"/>
      <c r="AA1144" s="471"/>
      <c r="AB1144" s="435"/>
    </row>
    <row r="1145" spans="1:40" s="470" customFormat="1" ht="15.75" customHeight="1" x14ac:dyDescent="0.15">
      <c r="B1145" s="514"/>
      <c r="C1145" s="209"/>
      <c r="D1145" s="516"/>
      <c r="E1145" s="517"/>
      <c r="F1145" s="518"/>
      <c r="G1145" s="519"/>
      <c r="H1145" s="463" t="str">
        <f t="shared" si="1350"/>
        <v/>
      </c>
      <c r="I1145" s="520"/>
      <c r="J1145" s="521"/>
      <c r="K1145" s="522"/>
      <c r="L1145" s="521"/>
      <c r="M1145" s="522"/>
      <c r="N1145" s="521"/>
      <c r="O1145" s="522"/>
      <c r="P1145" s="523"/>
      <c r="Q1145" s="512"/>
      <c r="R1145" s="513"/>
      <c r="S1145" s="524"/>
      <c r="T1145" s="470" t="str">
        <f t="shared" si="1371"/>
        <v/>
      </c>
      <c r="U1145" s="457"/>
      <c r="W1145" s="471">
        <f t="shared" ref="W1145:X1145" si="1383">W1144</f>
        <v>44</v>
      </c>
      <c r="X1145" s="471" t="e">
        <f t="shared" si="1383"/>
        <v>#REF!</v>
      </c>
      <c r="Y1145" s="471" t="e">
        <f t="shared" si="1368"/>
        <v>#REF!</v>
      </c>
      <c r="Z1145" s="471"/>
      <c r="AA1145" s="471"/>
      <c r="AB1145" s="435"/>
      <c r="AC1145" s="457"/>
      <c r="AD1145" s="457"/>
      <c r="AE1145" s="457"/>
      <c r="AN1145" s="457"/>
    </row>
    <row r="1146" spans="1:40" s="457" customFormat="1" ht="15.75" customHeight="1" x14ac:dyDescent="0.15">
      <c r="A1146" s="470"/>
      <c r="C1146" s="458"/>
      <c r="D1146" s="459"/>
      <c r="E1146" s="460"/>
      <c r="F1146" s="461"/>
      <c r="G1146" s="462"/>
      <c r="H1146" s="463" t="str">
        <f t="shared" ref="H1146:H1158" si="1384">CONCATENATE(C1146,E1146,F1146)</f>
        <v/>
      </c>
      <c r="I1146" s="464"/>
      <c r="J1146" s="465"/>
      <c r="K1146" s="465"/>
      <c r="L1146" s="465"/>
      <c r="M1146" s="465"/>
      <c r="N1146" s="465"/>
      <c r="O1146" s="466"/>
      <c r="P1146" s="467"/>
      <c r="Q1146" s="468"/>
      <c r="R1146" s="469"/>
      <c r="S1146" s="467"/>
      <c r="T1146" s="470" t="str">
        <f t="shared" ref="T1146:T1195" si="1385">CONCATENATE(Q1146,R1146)</f>
        <v/>
      </c>
      <c r="U1146" s="470"/>
      <c r="V1146" s="470"/>
      <c r="W1146" s="533">
        <f t="shared" ref="W1146" si="1386">I1168</f>
        <v>45</v>
      </c>
      <c r="X1146" s="533" t="e">
        <f>#REF!+1</f>
        <v>#REF!</v>
      </c>
      <c r="Y1146" s="533" t="e">
        <f t="shared" ref="Y1146:Y1180" si="1387">X1146-W1146</f>
        <v>#REF!</v>
      </c>
      <c r="Z1146" s="533"/>
      <c r="AA1146" s="533"/>
      <c r="AB1146" s="435"/>
      <c r="AC1146" s="470"/>
      <c r="AD1146" s="470"/>
      <c r="AE1146" s="470"/>
      <c r="AF1146" s="470"/>
      <c r="AG1146" s="470"/>
      <c r="AH1146" s="470"/>
      <c r="AI1146" s="470"/>
      <c r="AJ1146" s="470"/>
      <c r="AK1146" s="470"/>
      <c r="AL1146" s="470"/>
      <c r="AM1146" s="470"/>
      <c r="AN1146" s="470"/>
    </row>
    <row r="1147" spans="1:40" s="470" customFormat="1" ht="15.75" customHeight="1" x14ac:dyDescent="0.15">
      <c r="A1147" s="457"/>
      <c r="B1147" s="473"/>
      <c r="C1147" s="474" t="str">
        <f>"   항목번호 : "&amp;목록!L$51</f>
        <v xml:space="preserve">   항목번호 : 제45호표</v>
      </c>
      <c r="D1147" s="475">
        <f>목록!B$1247</f>
        <v>0</v>
      </c>
      <c r="E1147" s="476"/>
      <c r="F1147" s="477"/>
      <c r="G1147" s="478"/>
      <c r="H1147" s="463" t="str">
        <f t="shared" si="1384"/>
        <v xml:space="preserve">   항목번호 : 제45호표</v>
      </c>
      <c r="I1147" s="479"/>
      <c r="J1147" s="480"/>
      <c r="K1147" s="481"/>
      <c r="L1147" s="482"/>
      <c r="M1147" s="482"/>
      <c r="N1147" s="482"/>
      <c r="O1147" s="466"/>
      <c r="P1147" s="483"/>
      <c r="Q1147" s="484"/>
      <c r="R1147" s="485"/>
      <c r="S1147" s="483"/>
      <c r="T1147" s="470" t="str">
        <f t="shared" si="1385"/>
        <v/>
      </c>
      <c r="V1147" s="551"/>
      <c r="W1147" s="471">
        <f t="shared" ref="W1147:X1147" si="1388">W1146</f>
        <v>45</v>
      </c>
      <c r="X1147" s="471" t="e">
        <f t="shared" si="1388"/>
        <v>#REF!</v>
      </c>
      <c r="Y1147" s="471" t="e">
        <f t="shared" si="1387"/>
        <v>#REF!</v>
      </c>
      <c r="Z1147" s="471"/>
      <c r="AA1147" s="471"/>
      <c r="AB1147" s="435"/>
    </row>
    <row r="1148" spans="1:40" s="470" customFormat="1" ht="15.75" customHeight="1" x14ac:dyDescent="0.15">
      <c r="A1148" s="457"/>
      <c r="B1148" s="473"/>
      <c r="C1148" s="474" t="str">
        <f>"   공      종 : "&amp;목록!D$51</f>
        <v xml:space="preserve">   공      종 : 수성페인트(로울러)</v>
      </c>
      <c r="D1148" s="484"/>
      <c r="E1148" s="476"/>
      <c r="F1148" s="473"/>
      <c r="G1148" s="478"/>
      <c r="H1148" s="463" t="str">
        <f t="shared" si="1384"/>
        <v xml:space="preserve">   공      종 : 수성페인트(로울러)</v>
      </c>
      <c r="I1148" s="479"/>
      <c r="J1148" s="480"/>
      <c r="K1148" s="481"/>
      <c r="L1148" s="482"/>
      <c r="M1148" s="482"/>
      <c r="N1148" s="482"/>
      <c r="O1148" s="466"/>
      <c r="P1148" s="483"/>
      <c r="Q1148" s="484"/>
      <c r="R1148" s="485"/>
      <c r="S1148" s="483"/>
      <c r="T1148" s="470" t="str">
        <f t="shared" si="1385"/>
        <v/>
      </c>
      <c r="U1148" s="457"/>
      <c r="W1148" s="471">
        <f t="shared" ref="W1148:X1148" si="1389">W1147</f>
        <v>45</v>
      </c>
      <c r="X1148" s="471" t="e">
        <f t="shared" si="1389"/>
        <v>#REF!</v>
      </c>
      <c r="Y1148" s="471" t="e">
        <f t="shared" si="1387"/>
        <v>#REF!</v>
      </c>
      <c r="Z1148" s="471"/>
      <c r="AA1148" s="471"/>
      <c r="AB1148" s="435"/>
      <c r="AC1148" s="457"/>
      <c r="AD1148" s="457"/>
      <c r="AE1148" s="457"/>
      <c r="AF1148" s="457"/>
      <c r="AG1148" s="457"/>
      <c r="AH1148" s="457"/>
      <c r="AI1148" s="457"/>
      <c r="AJ1148" s="457"/>
      <c r="AK1148" s="457"/>
      <c r="AL1148" s="457"/>
      <c r="AM1148" s="457"/>
      <c r="AN1148" s="457"/>
    </row>
    <row r="1149" spans="1:40" s="457" customFormat="1" ht="15.75" customHeight="1" x14ac:dyDescent="0.15">
      <c r="B1149" s="473"/>
      <c r="C1149" s="474" t="str">
        <f xml:space="preserve"> "   규      격 : "&amp;목록!F$51</f>
        <v xml:space="preserve">   규      격 : 내벽3회</v>
      </c>
      <c r="D1149" s="484"/>
      <c r="E1149" s="476"/>
      <c r="F1149" s="473"/>
      <c r="G1149" s="478"/>
      <c r="H1149" s="463" t="str">
        <f t="shared" si="1384"/>
        <v xml:space="preserve">   규      격 : 내벽3회</v>
      </c>
      <c r="I1149" s="479"/>
      <c r="J1149" s="480" t="s">
        <v>348</v>
      </c>
      <c r="K1149" s="481"/>
      <c r="L1149" s="482" t="s">
        <v>349</v>
      </c>
      <c r="M1149" s="482"/>
      <c r="N1149" s="482" t="s">
        <v>240</v>
      </c>
      <c r="O1149" s="466"/>
      <c r="P1149" s="483"/>
      <c r="Q1149" s="484" t="s">
        <v>802</v>
      </c>
      <c r="R1149" s="484"/>
      <c r="S1149" s="483"/>
      <c r="T1149" s="470" t="str">
        <f t="shared" si="1385"/>
        <v>합계</v>
      </c>
      <c r="V1149" s="547"/>
      <c r="W1149" s="471">
        <f t="shared" ref="W1149:X1149" si="1390">W1148</f>
        <v>45</v>
      </c>
      <c r="X1149" s="471" t="e">
        <f t="shared" si="1390"/>
        <v>#REF!</v>
      </c>
      <c r="Y1149" s="471" t="e">
        <f t="shared" si="1387"/>
        <v>#REF!</v>
      </c>
      <c r="Z1149" s="471"/>
      <c r="AA1149" s="471"/>
      <c r="AB1149" s="435"/>
    </row>
    <row r="1150" spans="1:40" s="457" customFormat="1" ht="15.75" customHeight="1" x14ac:dyDescent="0.15">
      <c r="B1150" s="473"/>
      <c r="C1150" s="474" t="str">
        <f>"   단      위 : "&amp;목록!G$51</f>
        <v xml:space="preserve">   단      위 : ㎡</v>
      </c>
      <c r="D1150" s="484"/>
      <c r="E1150" s="476"/>
      <c r="F1150" s="473"/>
      <c r="G1150" s="478"/>
      <c r="H1150" s="463" t="str">
        <f t="shared" si="1384"/>
        <v xml:space="preserve">   단      위 : ㎡</v>
      </c>
      <c r="I1150" s="479"/>
      <c r="J1150" s="486">
        <f>K1168</f>
        <v>2458</v>
      </c>
      <c r="K1150" s="481"/>
      <c r="L1150" s="487">
        <f>M1168</f>
        <v>9293</v>
      </c>
      <c r="M1150" s="482"/>
      <c r="N1150" s="482">
        <f>O1168</f>
        <v>0</v>
      </c>
      <c r="O1150" s="466"/>
      <c r="P1150" s="483"/>
      <c r="Q1150" s="488">
        <f>J1150+L1150+N1150</f>
        <v>11751</v>
      </c>
      <c r="R1150" s="489"/>
      <c r="S1150" s="483"/>
      <c r="T1150" s="470" t="str">
        <f t="shared" si="1385"/>
        <v>11751</v>
      </c>
      <c r="V1150" s="547"/>
      <c r="W1150" s="471">
        <f t="shared" ref="W1150:X1150" si="1391">W1149</f>
        <v>45</v>
      </c>
      <c r="X1150" s="471" t="e">
        <f t="shared" si="1391"/>
        <v>#REF!</v>
      </c>
      <c r="Y1150" s="471" t="e">
        <f t="shared" si="1387"/>
        <v>#REF!</v>
      </c>
      <c r="Z1150" s="471"/>
      <c r="AA1150" s="471"/>
      <c r="AB1150" s="435"/>
    </row>
    <row r="1151" spans="1:40" s="457" customFormat="1" ht="15.75" customHeight="1" x14ac:dyDescent="0.15">
      <c r="B1151" s="473"/>
      <c r="C1151" s="474"/>
      <c r="D1151" s="484"/>
      <c r="E1151" s="476"/>
      <c r="F1151" s="473"/>
      <c r="G1151" s="490"/>
      <c r="H1151" s="463" t="str">
        <f t="shared" si="1384"/>
        <v/>
      </c>
      <c r="I1151" s="491"/>
      <c r="J1151" s="482"/>
      <c r="K1151" s="465"/>
      <c r="L1151" s="482"/>
      <c r="M1151" s="482"/>
      <c r="N1151" s="482"/>
      <c r="O1151" s="466"/>
      <c r="P1151" s="492"/>
      <c r="Q1151" s="493"/>
      <c r="R1151" s="485"/>
      <c r="S1151" s="492"/>
      <c r="T1151" s="470" t="str">
        <f t="shared" si="1385"/>
        <v/>
      </c>
      <c r="V1151" s="547"/>
      <c r="W1151" s="471">
        <f t="shared" ref="W1151:X1151" si="1392">W1150</f>
        <v>45</v>
      </c>
      <c r="X1151" s="471" t="e">
        <f t="shared" si="1392"/>
        <v>#REF!</v>
      </c>
      <c r="Y1151" s="471" t="e">
        <f t="shared" si="1387"/>
        <v>#REF!</v>
      </c>
      <c r="Z1151" s="471"/>
      <c r="AA1151" s="471"/>
      <c r="AB1151" s="435"/>
    </row>
    <row r="1152" spans="1:40" s="457" customFormat="1" ht="15.75" customHeight="1" x14ac:dyDescent="0.15">
      <c r="B1152" s="899" t="s">
        <v>375</v>
      </c>
      <c r="C1152" s="900"/>
      <c r="D1152" s="907" t="s">
        <v>356</v>
      </c>
      <c r="E1152" s="908"/>
      <c r="F1152" s="903" t="s">
        <v>788</v>
      </c>
      <c r="G1152" s="913" t="s">
        <v>789</v>
      </c>
      <c r="H1152" s="463" t="str">
        <f t="shared" si="1384"/>
        <v>단위</v>
      </c>
      <c r="I1152" s="494"/>
      <c r="J1152" s="495" t="s">
        <v>348</v>
      </c>
      <c r="K1152" s="496"/>
      <c r="L1152" s="495" t="s">
        <v>349</v>
      </c>
      <c r="M1152" s="496"/>
      <c r="N1152" s="497" t="s">
        <v>240</v>
      </c>
      <c r="O1152" s="497"/>
      <c r="P1152" s="498"/>
      <c r="Q1152" s="744" t="s">
        <v>355</v>
      </c>
      <c r="R1152" s="744"/>
      <c r="S1152" s="499"/>
      <c r="T1152" s="470" t="str">
        <f t="shared" si="1385"/>
        <v>비  고</v>
      </c>
      <c r="V1152" s="547"/>
      <c r="W1152" s="471">
        <f t="shared" ref="W1152:X1152" si="1393">W1151</f>
        <v>45</v>
      </c>
      <c r="X1152" s="471" t="e">
        <f t="shared" si="1393"/>
        <v>#REF!</v>
      </c>
      <c r="Y1152" s="471" t="e">
        <f t="shared" si="1387"/>
        <v>#REF!</v>
      </c>
      <c r="Z1152" s="471"/>
      <c r="AA1152" s="471"/>
      <c r="AB1152" s="435"/>
    </row>
    <row r="1153" spans="1:40" s="457" customFormat="1" ht="15.75" customHeight="1" x14ac:dyDescent="0.15">
      <c r="B1153" s="901"/>
      <c r="C1153" s="902"/>
      <c r="D1153" s="909"/>
      <c r="E1153" s="910"/>
      <c r="F1153" s="904"/>
      <c r="G1153" s="914"/>
      <c r="H1153" s="463" t="str">
        <f t="shared" si="1384"/>
        <v/>
      </c>
      <c r="I1153" s="500"/>
      <c r="J1153" s="501" t="s">
        <v>353</v>
      </c>
      <c r="K1153" s="501" t="s">
        <v>354</v>
      </c>
      <c r="L1153" s="501" t="s">
        <v>353</v>
      </c>
      <c r="M1153" s="502" t="s">
        <v>354</v>
      </c>
      <c r="N1153" s="501" t="s">
        <v>353</v>
      </c>
      <c r="O1153" s="501" t="s">
        <v>354</v>
      </c>
      <c r="P1153" s="503"/>
      <c r="Q1153" s="745"/>
      <c r="R1153" s="745"/>
      <c r="S1153" s="504"/>
      <c r="T1153" s="470" t="str">
        <f t="shared" si="1385"/>
        <v/>
      </c>
      <c r="V1153" s="547"/>
      <c r="W1153" s="471">
        <f t="shared" ref="W1153:X1153" si="1394">W1152</f>
        <v>45</v>
      </c>
      <c r="X1153" s="471" t="e">
        <f t="shared" si="1394"/>
        <v>#REF!</v>
      </c>
      <c r="Y1153" s="471" t="e">
        <f t="shared" si="1387"/>
        <v>#REF!</v>
      </c>
      <c r="Z1153" s="471"/>
      <c r="AA1153" s="471"/>
      <c r="AB1153" s="435"/>
    </row>
    <row r="1154" spans="1:40" s="457" customFormat="1" ht="15.75" customHeight="1" x14ac:dyDescent="0.15">
      <c r="A1154" s="547"/>
      <c r="B1154" s="95"/>
      <c r="C1154" s="214" t="s">
        <v>523</v>
      </c>
      <c r="D1154" s="95"/>
      <c r="E1154" s="541" t="s">
        <v>524</v>
      </c>
      <c r="F1154" s="96" t="s">
        <v>360</v>
      </c>
      <c r="G1154" s="505">
        <v>0.29599999999999999</v>
      </c>
      <c r="H1154" s="463" t="str">
        <f t="shared" si="1384"/>
        <v>수성페인트KSM6010 2종1급ℓ</v>
      </c>
      <c r="I1154" s="451" t="str">
        <f t="shared" ref="I1154:I1162" si="1395">CONCATENATE(C1154,E1154,F1154)</f>
        <v>수성페인트KSM6010 2종1급ℓ</v>
      </c>
      <c r="J1154" s="506">
        <f>IF(OR($F1154="인",$F1154=""),"",VLOOKUP($H1154,단가!$A:$S,19,FALSE))</f>
        <v>2470</v>
      </c>
      <c r="K1154" s="507">
        <f t="shared" ref="K1154:K1162" si="1396">IF(J1154="","",TRUNC($G1154*J1154,0))</f>
        <v>731</v>
      </c>
      <c r="L1154" s="506" t="str">
        <f>IF($F1154="인",VLOOKUP($C:$C,노임!$C:$G,4,FALSE),"")</f>
        <v/>
      </c>
      <c r="M1154" s="507" t="str">
        <f>IF(L1154="","",TRUNC($G1154*L1154,0))</f>
        <v/>
      </c>
      <c r="N1154" s="507"/>
      <c r="O1154" s="507" t="str">
        <f>IF(N1154="","",TRUNC($G1154*N1154,0))</f>
        <v/>
      </c>
      <c r="P1154" s="508"/>
      <c r="Q1154" s="509" t="str">
        <f>IF(F1154="인","노임"&amp;VLOOKUP($C:$C,노임!C:G,5,FALSE)&amp;"번","단가"&amp;VLOOKUP($H:$H,단가!$A:$B,2,FALSE)&amp;"번")</f>
        <v>단가28번</v>
      </c>
      <c r="R1154" s="510"/>
      <c r="S1154" s="131"/>
      <c r="T1154" s="470" t="str">
        <f t="shared" si="1385"/>
        <v>단가28번</v>
      </c>
      <c r="V1154" s="548"/>
      <c r="W1154" s="471">
        <f t="shared" ref="W1154:X1154" si="1397">W1153</f>
        <v>45</v>
      </c>
      <c r="X1154" s="471" t="e">
        <f t="shared" si="1397"/>
        <v>#REF!</v>
      </c>
      <c r="Y1154" s="471" t="e">
        <f t="shared" si="1387"/>
        <v>#REF!</v>
      </c>
      <c r="Z1154" s="471"/>
      <c r="AA1154" s="471"/>
      <c r="AB1154" s="435"/>
    </row>
    <row r="1155" spans="1:40" s="457" customFormat="1" ht="15.75" customHeight="1" x14ac:dyDescent="0.15">
      <c r="A1155" s="547"/>
      <c r="B1155" s="95"/>
      <c r="C1155" s="140" t="s">
        <v>944</v>
      </c>
      <c r="D1155" s="95"/>
      <c r="E1155" s="141" t="s">
        <v>945</v>
      </c>
      <c r="F1155" s="96" t="s">
        <v>946</v>
      </c>
      <c r="G1155" s="505">
        <v>0.25</v>
      </c>
      <c r="H1155" s="463" t="str">
        <f t="shared" si="1384"/>
        <v>연마지#120매</v>
      </c>
      <c r="I1155" s="451" t="str">
        <f t="shared" si="1395"/>
        <v>연마지#120매</v>
      </c>
      <c r="J1155" s="506">
        <f>IF(OR($F1155="인",$F1155=""),"",VLOOKUP($H1155,단가!$A:$S,19,FALSE))</f>
        <v>200</v>
      </c>
      <c r="K1155" s="507">
        <f t="shared" si="1396"/>
        <v>50</v>
      </c>
      <c r="L1155" s="506" t="str">
        <f>IF($F1155="인",VLOOKUP($C:$C,노임!$C:$G,4,FALSE),"")</f>
        <v/>
      </c>
      <c r="M1155" s="507" t="str">
        <f>IF(L1155="","",TRUNC($G1155*L1155,0))</f>
        <v/>
      </c>
      <c r="N1155" s="507"/>
      <c r="O1155" s="507" t="str">
        <f>IF(N1155="","",TRUNC($G1155*N1155,0))</f>
        <v/>
      </c>
      <c r="P1155" s="508"/>
      <c r="Q1155" s="509" t="str">
        <f>IF(F1155="인","노임"&amp;VLOOKUP($C:$C,노임!C:G,5,FALSE)&amp;"번","단가"&amp;VLOOKUP($H:$H,단가!$A:$B,2,FALSE)&amp;"번")</f>
        <v>단가57번</v>
      </c>
      <c r="R1155" s="510"/>
      <c r="S1155" s="131"/>
      <c r="T1155" s="470" t="str">
        <f t="shared" si="1385"/>
        <v>단가57번</v>
      </c>
      <c r="V1155" s="548"/>
      <c r="W1155" s="471">
        <f t="shared" ref="W1155:X1155" si="1398">W1154</f>
        <v>45</v>
      </c>
      <c r="X1155" s="471" t="e">
        <f t="shared" si="1398"/>
        <v>#REF!</v>
      </c>
      <c r="Y1155" s="471" t="e">
        <f t="shared" si="1387"/>
        <v>#REF!</v>
      </c>
      <c r="Z1155" s="471"/>
      <c r="AA1155" s="471"/>
      <c r="AB1155" s="435"/>
    </row>
    <row r="1156" spans="1:40" s="457" customFormat="1" ht="15.75" customHeight="1" x14ac:dyDescent="0.15">
      <c r="A1156" s="470"/>
      <c r="B1156" s="95"/>
      <c r="C1156" s="212" t="s">
        <v>269</v>
      </c>
      <c r="D1156" s="213"/>
      <c r="E1156" s="541" t="s">
        <v>969</v>
      </c>
      <c r="F1156" s="94" t="s">
        <v>364</v>
      </c>
      <c r="G1156" s="505">
        <f>TRUNC(0.012*3,4)</f>
        <v>3.5999999999999997E-2</v>
      </c>
      <c r="H1156" s="463" t="str">
        <f t="shared" si="1384"/>
        <v>도장공칠인</v>
      </c>
      <c r="I1156" s="451" t="str">
        <f t="shared" si="1395"/>
        <v>도장공칠인</v>
      </c>
      <c r="J1156" s="506" t="str">
        <f>IF(OR($F1156="인",$F1156=""),"",VLOOKUP($H1156,단가!$A:$S,19,FALSE))</f>
        <v/>
      </c>
      <c r="K1156" s="507" t="str">
        <f t="shared" si="1396"/>
        <v/>
      </c>
      <c r="L1156" s="506">
        <f>IF($F1156="인",VLOOKUP($C:$C,노임!$C:$G,4,FALSE),"")</f>
        <v>148659</v>
      </c>
      <c r="M1156" s="507">
        <f>IF(L1156="","",TRUNC($G1156*L1156,0))</f>
        <v>5351</v>
      </c>
      <c r="N1156" s="507"/>
      <c r="O1156" s="507" t="str">
        <f>IF(N1156="","",TRUNC($G1156*N1156,0))</f>
        <v/>
      </c>
      <c r="P1156" s="508"/>
      <c r="Q1156" s="509" t="str">
        <f>IF(F1156="인","노임"&amp;VLOOKUP($C:$C,노임!C:G,5,FALSE)&amp;"번","단가"&amp;VLOOKUP($H:$H,단가!$A:$B,2,FALSE)&amp;"번")</f>
        <v>노임1029번</v>
      </c>
      <c r="R1156" s="510"/>
      <c r="S1156" s="131"/>
      <c r="T1156" s="470" t="str">
        <f t="shared" si="1385"/>
        <v>노임1029번</v>
      </c>
      <c r="V1156" s="549"/>
      <c r="W1156" s="471">
        <f t="shared" ref="W1156:X1156" si="1399">W1155</f>
        <v>45</v>
      </c>
      <c r="X1156" s="471" t="e">
        <f t="shared" si="1399"/>
        <v>#REF!</v>
      </c>
      <c r="Y1156" s="471" t="e">
        <f t="shared" si="1387"/>
        <v>#REF!</v>
      </c>
      <c r="Z1156" s="471"/>
      <c r="AA1156" s="471"/>
      <c r="AB1156" s="435"/>
    </row>
    <row r="1157" spans="1:40" s="457" customFormat="1" ht="15.75" customHeight="1" x14ac:dyDescent="0.15">
      <c r="A1157" s="470"/>
      <c r="B1157" s="95"/>
      <c r="C1157" s="193" t="s">
        <v>761</v>
      </c>
      <c r="D1157" s="205"/>
      <c r="E1157" s="541" t="s">
        <v>969</v>
      </c>
      <c r="F1157" s="207" t="s">
        <v>762</v>
      </c>
      <c r="G1157" s="505">
        <f>TRUNC(0.002*3,4)</f>
        <v>6.0000000000000001E-3</v>
      </c>
      <c r="H1157" s="463" t="str">
        <f t="shared" si="1384"/>
        <v>보통인부칠인</v>
      </c>
      <c r="I1157" s="451" t="str">
        <f t="shared" si="1395"/>
        <v>보통인부칠인</v>
      </c>
      <c r="J1157" s="506" t="str">
        <f>IF(OR($F1157="인",$F1157=""),"",VLOOKUP($H1157,단가!$A:$S,19,FALSE))</f>
        <v/>
      </c>
      <c r="K1157" s="507" t="str">
        <f t="shared" si="1396"/>
        <v/>
      </c>
      <c r="L1157" s="506">
        <f>IF($F1157="인",VLOOKUP($C:$C,노임!$C:$G,4,FALSE),"")</f>
        <v>106846</v>
      </c>
      <c r="M1157" s="507">
        <f>IF(L1157="","",TRUNC($G1157*L1157,0))</f>
        <v>641</v>
      </c>
      <c r="N1157" s="507"/>
      <c r="O1157" s="507" t="str">
        <f>IF(N1157="","",TRUNC($G1157*N1157,0))</f>
        <v/>
      </c>
      <c r="P1157" s="508"/>
      <c r="Q1157" s="509" t="str">
        <f>IF(F1157="인","노임"&amp;VLOOKUP($C:$C,노임!C:G,5,FALSE)&amp;"번","단가"&amp;VLOOKUP($H:$H,단가!$A:$B,2,FALSE)&amp;"번")</f>
        <v>노임1002번</v>
      </c>
      <c r="R1157" s="510"/>
      <c r="S1157" s="131"/>
      <c r="T1157" s="470" t="str">
        <f t="shared" si="1385"/>
        <v>노임1002번</v>
      </c>
      <c r="U1157" s="470"/>
      <c r="V1157" s="549"/>
      <c r="W1157" s="471">
        <f t="shared" ref="W1157:X1157" si="1400">W1156</f>
        <v>45</v>
      </c>
      <c r="X1157" s="471" t="e">
        <f t="shared" si="1400"/>
        <v>#REF!</v>
      </c>
      <c r="Y1157" s="471" t="e">
        <f t="shared" si="1387"/>
        <v>#REF!</v>
      </c>
      <c r="Z1157" s="471"/>
      <c r="AA1157" s="471"/>
      <c r="AB1157" s="435"/>
      <c r="AC1157" s="470"/>
      <c r="AD1157" s="470"/>
      <c r="AE1157" s="470"/>
      <c r="AF1157" s="470"/>
      <c r="AG1157" s="470"/>
      <c r="AH1157" s="470"/>
      <c r="AI1157" s="470"/>
      <c r="AJ1157" s="470"/>
      <c r="AK1157" s="470"/>
      <c r="AL1157" s="470"/>
      <c r="AM1157" s="470"/>
      <c r="AN1157" s="470"/>
    </row>
    <row r="1158" spans="1:40" s="470" customFormat="1" ht="15.75" customHeight="1" x14ac:dyDescent="0.15">
      <c r="B1158" s="95"/>
      <c r="C1158" s="567" t="s">
        <v>373</v>
      </c>
      <c r="D1158" s="213"/>
      <c r="E1158" s="541" t="s">
        <v>519</v>
      </c>
      <c r="F1158" s="94" t="s">
        <v>811</v>
      </c>
      <c r="G1158" s="505">
        <v>1</v>
      </c>
      <c r="H1158" s="463" t="str">
        <f t="shared" si="1384"/>
        <v>공구손료인력품의2%식</v>
      </c>
      <c r="I1158" s="451" t="str">
        <f t="shared" si="1395"/>
        <v>공구손료인력품의2%식</v>
      </c>
      <c r="J1158" s="506">
        <f>TRUNC(M1157*2%,0)</f>
        <v>12</v>
      </c>
      <c r="K1158" s="507">
        <f t="shared" si="1396"/>
        <v>12</v>
      </c>
      <c r="L1158" s="506"/>
      <c r="M1158" s="507"/>
      <c r="N1158" s="507"/>
      <c r="O1158" s="507"/>
      <c r="P1158" s="508"/>
      <c r="Q1158" s="512"/>
      <c r="R1158" s="534"/>
      <c r="S1158" s="131"/>
      <c r="T1158" s="470" t="str">
        <f t="shared" si="1385"/>
        <v/>
      </c>
      <c r="V1158" s="549"/>
      <c r="W1158" s="471">
        <f t="shared" ref="W1158:X1158" si="1401">W1157</f>
        <v>45</v>
      </c>
      <c r="X1158" s="471" t="e">
        <f t="shared" si="1401"/>
        <v>#REF!</v>
      </c>
      <c r="Y1158" s="471" t="e">
        <f t="shared" si="1387"/>
        <v>#REF!</v>
      </c>
      <c r="Z1158" s="471"/>
      <c r="AA1158" s="471"/>
      <c r="AB1158" s="435"/>
    </row>
    <row r="1159" spans="1:40" s="470" customFormat="1" ht="15.75" customHeight="1" x14ac:dyDescent="0.15">
      <c r="B1159" s="95"/>
      <c r="C1159" s="140" t="s">
        <v>572</v>
      </c>
      <c r="D1159" s="95"/>
      <c r="E1159" s="541" t="s">
        <v>947</v>
      </c>
      <c r="F1159" s="94" t="s">
        <v>1017</v>
      </c>
      <c r="G1159" s="505">
        <v>1</v>
      </c>
      <c r="H1159" s="463" t="str">
        <f>CONCATENATE(C1159,E1159,F1159)</f>
        <v>잡재료 및 소모재료주재료비의 6%식</v>
      </c>
      <c r="I1159" s="451" t="str">
        <f t="shared" si="1395"/>
        <v>잡재료 및 소모재료주재료비의 6%식</v>
      </c>
      <c r="J1159" s="506">
        <f>TRUNC((K1154)*6%,0)</f>
        <v>43</v>
      </c>
      <c r="K1159" s="507">
        <f t="shared" si="1396"/>
        <v>43</v>
      </c>
      <c r="L1159" s="506" t="str">
        <f>IF($F1159="인",VLOOKUP($C:$C,노임!$C:$G,4,FALSE),"")</f>
        <v/>
      </c>
      <c r="M1159" s="507" t="str">
        <f t="shared" ref="M1159:M1164" si="1402">IF(L1159="","",TRUNC($G1159*L1159,0))</f>
        <v/>
      </c>
      <c r="N1159" s="507"/>
      <c r="O1159" s="507" t="str">
        <f t="shared" ref="O1159:O1164" si="1403">IF(N1159="","",TRUNC($G1159*N1159,0))</f>
        <v/>
      </c>
      <c r="P1159" s="508"/>
      <c r="Q1159" s="509"/>
      <c r="R1159" s="510"/>
      <c r="S1159" s="131"/>
      <c r="T1159" s="470" t="str">
        <f t="shared" si="1385"/>
        <v/>
      </c>
      <c r="V1159" s="549"/>
      <c r="W1159" s="471">
        <f t="shared" ref="W1159:X1159" si="1404">W1158</f>
        <v>45</v>
      </c>
      <c r="X1159" s="471" t="e">
        <f t="shared" si="1404"/>
        <v>#REF!</v>
      </c>
      <c r="Y1159" s="471" t="e">
        <f t="shared" si="1387"/>
        <v>#REF!</v>
      </c>
      <c r="Z1159" s="471"/>
      <c r="AA1159" s="471"/>
      <c r="AB1159" s="435"/>
    </row>
    <row r="1160" spans="1:40" s="470" customFormat="1" ht="15.75" customHeight="1" x14ac:dyDescent="0.15">
      <c r="B1160" s="95"/>
      <c r="C1160" s="440" t="s">
        <v>928</v>
      </c>
      <c r="D1160" s="95"/>
      <c r="E1160" s="141"/>
      <c r="F1160" s="94" t="s">
        <v>818</v>
      </c>
      <c r="G1160" s="505">
        <v>1</v>
      </c>
      <c r="H1160" s="463" t="str">
        <f>CONCATENATE(C1160,E1160,F1160)</f>
        <v>도장작업시보양작업㎡</v>
      </c>
      <c r="I1160" s="451" t="str">
        <f t="shared" si="1395"/>
        <v>도장작업시보양작업㎡</v>
      </c>
      <c r="J1160" s="506">
        <f>VLOOKUP($H1160,목록!$A:$K,8,FALSE)</f>
        <v>1384</v>
      </c>
      <c r="K1160" s="507">
        <f t="shared" si="1396"/>
        <v>1384</v>
      </c>
      <c r="L1160" s="506">
        <f>VLOOKUP($H1160,목록!$A:$K,9,FALSE)</f>
        <v>1602</v>
      </c>
      <c r="M1160" s="507">
        <f t="shared" si="1402"/>
        <v>1602</v>
      </c>
      <c r="N1160" s="506" t="str">
        <f>VLOOKUP($H1160,목록!$A:$K,10,FALSE)</f>
        <v/>
      </c>
      <c r="O1160" s="507" t="str">
        <f t="shared" si="1403"/>
        <v/>
      </c>
      <c r="P1160" s="508"/>
      <c r="Q1160" s="509" t="str">
        <f>"제"&amp;VLOOKUP($H:$H,목록!$A:$B,2,FALSE)&amp;"호표"</f>
        <v>제40호표</v>
      </c>
      <c r="R1160" s="550"/>
      <c r="S1160" s="131"/>
      <c r="T1160" s="470" t="str">
        <f t="shared" si="1385"/>
        <v>제40호표</v>
      </c>
      <c r="V1160" s="549"/>
      <c r="W1160" s="471">
        <f t="shared" ref="W1160:X1160" si="1405">W1159</f>
        <v>45</v>
      </c>
      <c r="X1160" s="471" t="e">
        <f t="shared" si="1405"/>
        <v>#REF!</v>
      </c>
      <c r="Y1160" s="471" t="e">
        <f t="shared" si="1387"/>
        <v>#REF!</v>
      </c>
      <c r="Z1160" s="471"/>
      <c r="AA1160" s="471"/>
      <c r="AB1160" s="435"/>
    </row>
    <row r="1161" spans="1:40" s="457" customFormat="1" ht="15.75" customHeight="1" x14ac:dyDescent="0.15">
      <c r="B1161" s="95"/>
      <c r="C1161" s="437" t="s">
        <v>463</v>
      </c>
      <c r="D1161" s="439"/>
      <c r="E1161" s="441" t="s">
        <v>464</v>
      </c>
      <c r="F1161" s="438" t="s">
        <v>357</v>
      </c>
      <c r="G1161" s="505">
        <f>0.06*2</f>
        <v>0.12</v>
      </c>
      <c r="H1161" s="463" t="str">
        <f t="shared" ref="H1161:H1166" si="1406">CONCATENATE(C1161,E1161,F1161)</f>
        <v>퍼티핸디택스(인테리어전용)Kg</v>
      </c>
      <c r="I1161" s="451" t="str">
        <f t="shared" si="1395"/>
        <v>퍼티핸디택스(인테리어전용)Kg</v>
      </c>
      <c r="J1161" s="506">
        <f>IF(OR($F1161="인",$F1161=""),"",VLOOKUP($H1161,단가!$A:$S,19,FALSE))</f>
        <v>1150</v>
      </c>
      <c r="K1161" s="507">
        <f t="shared" si="1396"/>
        <v>138</v>
      </c>
      <c r="L1161" s="506" t="str">
        <f>IF($F1161="인",VLOOKUP($C:$C,노임!$C:$G,4,FALSE),"")</f>
        <v/>
      </c>
      <c r="M1161" s="507" t="str">
        <f t="shared" si="1402"/>
        <v/>
      </c>
      <c r="N1161" s="507"/>
      <c r="O1161" s="507" t="str">
        <f t="shared" si="1403"/>
        <v/>
      </c>
      <c r="P1161" s="508"/>
      <c r="Q1161" s="512" t="str">
        <f>IF(F1161="인","노임"&amp;VLOOKUP($C:$C,노임!C:G,5,FALSE)&amp;"번","단가"&amp;VLOOKUP($H:$H,단가!$A:$B,2,FALSE)&amp;"번")</f>
        <v>단가39번</v>
      </c>
      <c r="R1161" s="534"/>
      <c r="S1161" s="131"/>
      <c r="T1161" s="470" t="str">
        <f t="shared" si="1385"/>
        <v>단가39번</v>
      </c>
      <c r="U1161" s="470"/>
      <c r="V1161" s="458"/>
      <c r="W1161" s="471">
        <f t="shared" ref="W1161:X1161" si="1407">W1160</f>
        <v>45</v>
      </c>
      <c r="X1161" s="471" t="e">
        <f t="shared" si="1407"/>
        <v>#REF!</v>
      </c>
      <c r="Y1161" s="471" t="e">
        <f t="shared" si="1387"/>
        <v>#REF!</v>
      </c>
      <c r="Z1161" s="471"/>
      <c r="AA1161" s="471"/>
      <c r="AC1161" s="470"/>
      <c r="AD1161" s="470"/>
      <c r="AF1161" s="470"/>
      <c r="AG1161" s="470"/>
      <c r="AH1161" s="470"/>
      <c r="AI1161" s="470"/>
      <c r="AJ1161" s="470"/>
      <c r="AK1161" s="470"/>
      <c r="AL1161" s="470"/>
      <c r="AM1161" s="470"/>
      <c r="AN1161" s="470"/>
    </row>
    <row r="1162" spans="1:40" s="470" customFormat="1" ht="15.75" customHeight="1" x14ac:dyDescent="0.15">
      <c r="A1162" s="457"/>
      <c r="B1162" s="95"/>
      <c r="C1162" s="437" t="s">
        <v>477</v>
      </c>
      <c r="D1162" s="439"/>
      <c r="E1162" s="441" t="s">
        <v>479</v>
      </c>
      <c r="F1162" s="438" t="s">
        <v>478</v>
      </c>
      <c r="G1162" s="505">
        <f>0.25*2</f>
        <v>0.5</v>
      </c>
      <c r="H1162" s="463" t="str">
        <f t="shared" si="1406"/>
        <v>연마지#120매</v>
      </c>
      <c r="I1162" s="451" t="str">
        <f t="shared" si="1395"/>
        <v>연마지#120매</v>
      </c>
      <c r="J1162" s="506">
        <f>IF(OR($F1162="인",$F1162=""),"",VLOOKUP($H1162,단가!$A:$S,19,FALSE))</f>
        <v>200</v>
      </c>
      <c r="K1162" s="507">
        <f t="shared" si="1396"/>
        <v>100</v>
      </c>
      <c r="L1162" s="506" t="str">
        <f>IF($F1162="인",VLOOKUP($C:$C,노임!$C:$G,4,FALSE),"")</f>
        <v/>
      </c>
      <c r="M1162" s="507" t="str">
        <f t="shared" si="1402"/>
        <v/>
      </c>
      <c r="N1162" s="507"/>
      <c r="O1162" s="507" t="str">
        <f t="shared" si="1403"/>
        <v/>
      </c>
      <c r="P1162" s="508"/>
      <c r="Q1162" s="512" t="str">
        <f>IF(F1162="인","노임"&amp;VLOOKUP($C:$C,노임!C:G,5,FALSE)&amp;"번","단가"&amp;VLOOKUP($H:$H,단가!$A:$B,2,FALSE)&amp;"번")</f>
        <v>단가57번</v>
      </c>
      <c r="R1162" s="534"/>
      <c r="S1162" s="131"/>
      <c r="T1162" s="470" t="str">
        <f t="shared" si="1385"/>
        <v>단가57번</v>
      </c>
      <c r="V1162" s="458"/>
      <c r="W1162" s="471">
        <f t="shared" ref="W1162:X1162" si="1408">W1161</f>
        <v>45</v>
      </c>
      <c r="X1162" s="471" t="e">
        <f t="shared" si="1408"/>
        <v>#REF!</v>
      </c>
      <c r="Y1162" s="471" t="e">
        <f t="shared" si="1387"/>
        <v>#REF!</v>
      </c>
      <c r="Z1162" s="471"/>
      <c r="AA1162" s="471"/>
    </row>
    <row r="1163" spans="1:40" s="457" customFormat="1" ht="15.75" customHeight="1" x14ac:dyDescent="0.15">
      <c r="A1163" s="547"/>
      <c r="B1163" s="95"/>
      <c r="C1163" s="140" t="s">
        <v>913</v>
      </c>
      <c r="D1163" s="95"/>
      <c r="E1163" s="141" t="s">
        <v>966</v>
      </c>
      <c r="F1163" s="207" t="s">
        <v>856</v>
      </c>
      <c r="G1163" s="505">
        <f>TRUNC(0.005*2,4)</f>
        <v>0.01</v>
      </c>
      <c r="H1163" s="463" t="str">
        <f t="shared" si="1406"/>
        <v>도장공도장후 퍼티연마인</v>
      </c>
      <c r="I1163" s="451" t="str">
        <f>CONCATENATE(C1163,E1163,F1163)</f>
        <v>도장공도장후 퍼티연마인</v>
      </c>
      <c r="J1163" s="506" t="str">
        <f>IF(OR($F1163="인",$F1163=""),"",VLOOKUP($H1163,단가!$A:$S,19,FALSE))</f>
        <v/>
      </c>
      <c r="K1163" s="507" t="str">
        <f>IF(J1163="","",TRUNC($G1163*J1163,0))</f>
        <v/>
      </c>
      <c r="L1163" s="506">
        <f>IF($F1163="인",VLOOKUP($C:$C,노임!$C:$G,4,FALSE),"")</f>
        <v>148659</v>
      </c>
      <c r="M1163" s="507">
        <f t="shared" si="1402"/>
        <v>1486</v>
      </c>
      <c r="N1163" s="507"/>
      <c r="O1163" s="507" t="str">
        <f t="shared" si="1403"/>
        <v/>
      </c>
      <c r="P1163" s="508"/>
      <c r="Q1163" s="509" t="str">
        <f>IF(F1163="인","노임"&amp;VLOOKUP($C:$C,노임!C:G,5,FALSE)&amp;"번","단가"&amp;VLOOKUP($H:$H,단가!$A:$B,2,FALSE)&amp;"번")</f>
        <v>노임1029번</v>
      </c>
      <c r="R1163" s="510"/>
      <c r="S1163" s="131"/>
      <c r="T1163" s="470" t="str">
        <f t="shared" si="1385"/>
        <v>노임1029번</v>
      </c>
      <c r="V1163" s="548"/>
      <c r="W1163" s="471">
        <f t="shared" ref="W1163:X1163" si="1409">W1162</f>
        <v>45</v>
      </c>
      <c r="X1163" s="471" t="e">
        <f t="shared" si="1409"/>
        <v>#REF!</v>
      </c>
      <c r="Y1163" s="471" t="e">
        <f t="shared" si="1387"/>
        <v>#REF!</v>
      </c>
      <c r="Z1163" s="471"/>
      <c r="AA1163" s="471"/>
      <c r="AB1163" s="435"/>
    </row>
    <row r="1164" spans="1:40" s="457" customFormat="1" ht="15.75" customHeight="1" x14ac:dyDescent="0.15">
      <c r="A1164" s="470"/>
      <c r="B1164" s="95"/>
      <c r="C1164" s="140" t="s">
        <v>767</v>
      </c>
      <c r="D1164" s="95"/>
      <c r="E1164" s="141" t="s">
        <v>966</v>
      </c>
      <c r="F1164" s="207" t="s">
        <v>750</v>
      </c>
      <c r="G1164" s="505">
        <f>TRUNC(0.001*2,4)</f>
        <v>2E-3</v>
      </c>
      <c r="H1164" s="463" t="str">
        <f t="shared" si="1406"/>
        <v>보통인부도장후 퍼티연마인</v>
      </c>
      <c r="I1164" s="451" t="str">
        <f>CONCATENATE(C1164,E1164,F1164)</f>
        <v>보통인부도장후 퍼티연마인</v>
      </c>
      <c r="J1164" s="506" t="str">
        <f>IF(OR($F1164="인",$F1164=""),"",VLOOKUP($H1164,단가!$A:$S,19,FALSE))</f>
        <v/>
      </c>
      <c r="K1164" s="507" t="str">
        <f>IF(J1164="","",TRUNC($G1164*J1164,0))</f>
        <v/>
      </c>
      <c r="L1164" s="506">
        <f>IF($F1164="인",VLOOKUP($C:$C,노임!$C:$G,4,FALSE),"")</f>
        <v>106846</v>
      </c>
      <c r="M1164" s="507">
        <f t="shared" si="1402"/>
        <v>213</v>
      </c>
      <c r="N1164" s="507"/>
      <c r="O1164" s="507" t="str">
        <f t="shared" si="1403"/>
        <v/>
      </c>
      <c r="P1164" s="508"/>
      <c r="Q1164" s="509" t="str">
        <f>IF(F1164="인","노임"&amp;VLOOKUP($C:$C,노임!C:G,5,FALSE)&amp;"번","단가"&amp;VLOOKUP($H:$H,단가!$A:$B,2,FALSE)&amp;"번")</f>
        <v>노임1002번</v>
      </c>
      <c r="R1164" s="510"/>
      <c r="S1164" s="131"/>
      <c r="T1164" s="470" t="str">
        <f t="shared" si="1385"/>
        <v>노임1002번</v>
      </c>
      <c r="V1164" s="549"/>
      <c r="W1164" s="471">
        <f t="shared" ref="W1164:X1164" si="1410">W1163</f>
        <v>45</v>
      </c>
      <c r="X1164" s="471" t="e">
        <f t="shared" si="1410"/>
        <v>#REF!</v>
      </c>
      <c r="Y1164" s="471" t="e">
        <f t="shared" si="1387"/>
        <v>#REF!</v>
      </c>
      <c r="Z1164" s="471"/>
      <c r="AA1164" s="471"/>
      <c r="AB1164" s="435"/>
    </row>
    <row r="1165" spans="1:40" s="457" customFormat="1" ht="15.75" customHeight="1" x14ac:dyDescent="0.15">
      <c r="A1165" s="470"/>
      <c r="B1165" s="95"/>
      <c r="C1165" s="140"/>
      <c r="D1165" s="95"/>
      <c r="E1165" s="141"/>
      <c r="F1165" s="94"/>
      <c r="G1165" s="505"/>
      <c r="H1165" s="463" t="str">
        <f t="shared" si="1406"/>
        <v/>
      </c>
      <c r="I1165" s="451"/>
      <c r="J1165" s="506"/>
      <c r="K1165" s="507"/>
      <c r="L1165" s="506"/>
      <c r="M1165" s="507"/>
      <c r="N1165" s="507"/>
      <c r="O1165" s="507"/>
      <c r="P1165" s="508"/>
      <c r="Q1165" s="512"/>
      <c r="R1165" s="513"/>
      <c r="S1165" s="131"/>
      <c r="T1165" s="470" t="str">
        <f t="shared" si="1385"/>
        <v/>
      </c>
      <c r="U1165" s="470"/>
      <c r="V1165" s="549"/>
      <c r="W1165" s="471">
        <f t="shared" ref="W1165:X1165" si="1411">W1164</f>
        <v>45</v>
      </c>
      <c r="X1165" s="471" t="e">
        <f t="shared" si="1411"/>
        <v>#REF!</v>
      </c>
      <c r="Y1165" s="471" t="e">
        <f t="shared" si="1387"/>
        <v>#REF!</v>
      </c>
      <c r="Z1165" s="471"/>
      <c r="AA1165" s="471"/>
      <c r="AB1165" s="435"/>
      <c r="AC1165" s="470"/>
      <c r="AD1165" s="470"/>
      <c r="AE1165" s="470"/>
      <c r="AN1165" s="470"/>
    </row>
    <row r="1166" spans="1:40" s="470" customFormat="1" ht="15.75" customHeight="1" x14ac:dyDescent="0.15">
      <c r="B1166" s="95"/>
      <c r="C1166" s="140"/>
      <c r="D1166" s="95"/>
      <c r="E1166" s="141"/>
      <c r="F1166" s="94"/>
      <c r="G1166" s="505"/>
      <c r="H1166" s="463" t="str">
        <f t="shared" si="1406"/>
        <v/>
      </c>
      <c r="I1166" s="451"/>
      <c r="J1166" s="506"/>
      <c r="K1166" s="507"/>
      <c r="L1166" s="506"/>
      <c r="M1166" s="507"/>
      <c r="N1166" s="507"/>
      <c r="O1166" s="507"/>
      <c r="P1166" s="508"/>
      <c r="Q1166" s="512"/>
      <c r="R1166" s="534"/>
      <c r="S1166" s="131"/>
      <c r="T1166" s="470" t="str">
        <f t="shared" si="1385"/>
        <v/>
      </c>
      <c r="V1166" s="549"/>
      <c r="W1166" s="471">
        <f t="shared" ref="W1166:X1166" si="1412">W1165</f>
        <v>45</v>
      </c>
      <c r="X1166" s="471" t="e">
        <f t="shared" si="1412"/>
        <v>#REF!</v>
      </c>
      <c r="Y1166" s="471" t="e">
        <f t="shared" si="1387"/>
        <v>#REF!</v>
      </c>
      <c r="Z1166" s="471"/>
      <c r="AA1166" s="471"/>
      <c r="AB1166" s="435"/>
    </row>
    <row r="1167" spans="1:40" s="470" customFormat="1" ht="15.75" customHeight="1" x14ac:dyDescent="0.15">
      <c r="B1167" s="95"/>
      <c r="C1167" s="140"/>
      <c r="D1167" s="95"/>
      <c r="E1167" s="141"/>
      <c r="F1167" s="94"/>
      <c r="G1167" s="505"/>
      <c r="H1167" s="463" t="str">
        <f t="shared" ref="H1167:H1184" si="1413">CONCATENATE(C1167,E1167,F1167)</f>
        <v/>
      </c>
      <c r="I1167" s="451"/>
      <c r="J1167" s="506"/>
      <c r="K1167" s="507"/>
      <c r="L1167" s="506"/>
      <c r="M1167" s="507"/>
      <c r="N1167" s="507"/>
      <c r="O1167" s="507"/>
      <c r="P1167" s="508"/>
      <c r="Q1167" s="512"/>
      <c r="R1167" s="513"/>
      <c r="S1167" s="131"/>
      <c r="T1167" s="470" t="str">
        <f t="shared" si="1385"/>
        <v/>
      </c>
      <c r="V1167" s="549"/>
      <c r="W1167" s="471">
        <f t="shared" ref="W1167:X1167" si="1414">W1166</f>
        <v>45</v>
      </c>
      <c r="X1167" s="471" t="e">
        <f t="shared" si="1414"/>
        <v>#REF!</v>
      </c>
      <c r="Y1167" s="471" t="e">
        <f t="shared" si="1387"/>
        <v>#REF!</v>
      </c>
      <c r="Z1167" s="471"/>
      <c r="AA1167" s="471"/>
      <c r="AB1167" s="435"/>
    </row>
    <row r="1168" spans="1:40" s="470" customFormat="1" ht="15.75" customHeight="1" x14ac:dyDescent="0.15">
      <c r="B1168" s="514" t="s">
        <v>929</v>
      </c>
      <c r="C1168" s="515"/>
      <c r="D1168" s="516"/>
      <c r="E1168" s="517"/>
      <c r="F1168" s="518"/>
      <c r="G1168" s="519"/>
      <c r="H1168" s="463" t="str">
        <f t="shared" si="1413"/>
        <v/>
      </c>
      <c r="I1168" s="520">
        <f>목록!$B$51</f>
        <v>45</v>
      </c>
      <c r="J1168" s="521"/>
      <c r="K1168" s="522">
        <f>SUM(K1154:K1167)</f>
        <v>2458</v>
      </c>
      <c r="L1168" s="521"/>
      <c r="M1168" s="522">
        <f>SUM(M1154:M1167)</f>
        <v>9293</v>
      </c>
      <c r="N1168" s="521"/>
      <c r="O1168" s="522">
        <f>SUM(O1154:O1167)</f>
        <v>0</v>
      </c>
      <c r="P1168" s="523"/>
      <c r="Q1168" s="512"/>
      <c r="R1168" s="513"/>
      <c r="S1168" s="524"/>
      <c r="T1168" s="470" t="str">
        <f t="shared" si="1385"/>
        <v/>
      </c>
      <c r="V1168" s="549"/>
      <c r="W1168" s="471">
        <f t="shared" ref="W1168:X1168" si="1415">W1167</f>
        <v>45</v>
      </c>
      <c r="X1168" s="471" t="e">
        <f t="shared" si="1415"/>
        <v>#REF!</v>
      </c>
      <c r="Y1168" s="471" t="e">
        <f t="shared" si="1387"/>
        <v>#REF!</v>
      </c>
      <c r="Z1168" s="471"/>
      <c r="AA1168" s="471"/>
      <c r="AB1168" s="435"/>
    </row>
    <row r="1169" spans="1:40" s="470" customFormat="1" ht="15.75" customHeight="1" x14ac:dyDescent="0.15">
      <c r="B1169" s="453"/>
      <c r="C1169" s="209" t="s">
        <v>1080</v>
      </c>
      <c r="D1169" s="95"/>
      <c r="E1169" s="141"/>
      <c r="F1169" s="94"/>
      <c r="G1169" s="505"/>
      <c r="H1169" s="463" t="str">
        <f t="shared" si="1413"/>
        <v>※ 건축표준품셈 : 17-1-2 도장 후 퍼티 및 연마 / 17-2-2 수성페인트 로울러</v>
      </c>
      <c r="I1169" s="451"/>
      <c r="J1169" s="506"/>
      <c r="K1169" s="507"/>
      <c r="L1169" s="506"/>
      <c r="M1169" s="507"/>
      <c r="N1169" s="507"/>
      <c r="O1169" s="507"/>
      <c r="P1169" s="508"/>
      <c r="Q1169" s="512"/>
      <c r="R1169" s="513"/>
      <c r="S1169" s="131"/>
      <c r="T1169" s="470" t="str">
        <f t="shared" si="1385"/>
        <v/>
      </c>
      <c r="V1169" s="549"/>
      <c r="W1169" s="615">
        <f t="shared" ref="W1169:X1169" si="1416">W1168</f>
        <v>45</v>
      </c>
      <c r="X1169" s="471" t="e">
        <f t="shared" si="1416"/>
        <v>#REF!</v>
      </c>
      <c r="Y1169" s="471" t="e">
        <f t="shared" si="1387"/>
        <v>#REF!</v>
      </c>
      <c r="Z1169" s="471"/>
      <c r="AA1169" s="471"/>
      <c r="AB1169" s="435"/>
    </row>
    <row r="1170" spans="1:40" s="470" customFormat="1" ht="15.75" customHeight="1" x14ac:dyDescent="0.15">
      <c r="A1170" s="457"/>
      <c r="B1170" s="453"/>
      <c r="C1170" s="209" t="s">
        <v>968</v>
      </c>
      <c r="D1170" s="95"/>
      <c r="E1170" s="141"/>
      <c r="F1170" s="94"/>
      <c r="G1170" s="505"/>
      <c r="H1170" s="463" t="str">
        <f t="shared" si="1413"/>
        <v>※ 공정순서 : ALL PUTTY(별도계상) → 벽체칠 → 도장후퍼티연마 → 벽체칠(2차) → 도장후퍼티연마(2차) → 벽체칠(마감)</v>
      </c>
      <c r="I1170" s="451"/>
      <c r="J1170" s="506"/>
      <c r="K1170" s="507"/>
      <c r="L1170" s="506"/>
      <c r="M1170" s="507"/>
      <c r="N1170" s="507"/>
      <c r="O1170" s="507"/>
      <c r="P1170" s="508"/>
      <c r="Q1170" s="512"/>
      <c r="R1170" s="513"/>
      <c r="S1170" s="131"/>
      <c r="T1170" s="470" t="str">
        <f t="shared" si="1385"/>
        <v/>
      </c>
      <c r="V1170" s="551"/>
      <c r="W1170" s="471">
        <f t="shared" ref="W1170:X1170" si="1417">W1169</f>
        <v>45</v>
      </c>
      <c r="X1170" s="471" t="e">
        <f t="shared" si="1417"/>
        <v>#REF!</v>
      </c>
      <c r="Y1170" s="471" t="e">
        <f t="shared" si="1387"/>
        <v>#REF!</v>
      </c>
      <c r="Z1170" s="471"/>
      <c r="AA1170" s="471"/>
      <c r="AB1170" s="435"/>
    </row>
    <row r="1171" spans="1:40" s="470" customFormat="1" ht="15.75" customHeight="1" x14ac:dyDescent="0.15">
      <c r="B1171" s="514"/>
      <c r="C1171" s="209"/>
      <c r="D1171" s="516"/>
      <c r="E1171" s="517"/>
      <c r="F1171" s="518"/>
      <c r="G1171" s="519"/>
      <c r="H1171" s="463" t="str">
        <f t="shared" si="1413"/>
        <v/>
      </c>
      <c r="I1171" s="520"/>
      <c r="J1171" s="521"/>
      <c r="K1171" s="522"/>
      <c r="L1171" s="521"/>
      <c r="M1171" s="522"/>
      <c r="N1171" s="521"/>
      <c r="O1171" s="522"/>
      <c r="P1171" s="523"/>
      <c r="Q1171" s="512"/>
      <c r="R1171" s="513"/>
      <c r="S1171" s="524"/>
      <c r="T1171" s="470" t="str">
        <f t="shared" si="1385"/>
        <v/>
      </c>
      <c r="U1171" s="457"/>
      <c r="W1171" s="471">
        <f t="shared" ref="W1171:X1171" si="1418">W1170</f>
        <v>45</v>
      </c>
      <c r="X1171" s="471" t="e">
        <f t="shared" si="1418"/>
        <v>#REF!</v>
      </c>
      <c r="Y1171" s="471" t="e">
        <f t="shared" si="1387"/>
        <v>#REF!</v>
      </c>
      <c r="Z1171" s="471"/>
      <c r="AA1171" s="471"/>
      <c r="AB1171" s="435"/>
      <c r="AC1171" s="457"/>
      <c r="AD1171" s="457"/>
      <c r="AE1171" s="457"/>
      <c r="AF1171" s="457"/>
      <c r="AG1171" s="457"/>
      <c r="AH1171" s="457"/>
      <c r="AI1171" s="457"/>
      <c r="AJ1171" s="457"/>
      <c r="AK1171" s="457"/>
      <c r="AL1171" s="457"/>
      <c r="AM1171" s="457"/>
      <c r="AN1171" s="457"/>
    </row>
    <row r="1172" spans="1:40" s="457" customFormat="1" ht="15.75" customHeight="1" x14ac:dyDescent="0.15">
      <c r="A1172" s="470"/>
      <c r="C1172" s="458"/>
      <c r="D1172" s="459"/>
      <c r="E1172" s="460"/>
      <c r="F1172" s="461"/>
      <c r="G1172" s="462"/>
      <c r="H1172" s="463" t="str">
        <f t="shared" si="1413"/>
        <v/>
      </c>
      <c r="I1172" s="464"/>
      <c r="J1172" s="465"/>
      <c r="K1172" s="465"/>
      <c r="L1172" s="465"/>
      <c r="M1172" s="465"/>
      <c r="N1172" s="465"/>
      <c r="O1172" s="466"/>
      <c r="P1172" s="467"/>
      <c r="Q1172" s="468"/>
      <c r="R1172" s="469"/>
      <c r="S1172" s="467"/>
      <c r="T1172" s="470" t="str">
        <f t="shared" si="1385"/>
        <v/>
      </c>
      <c r="U1172" s="470"/>
      <c r="V1172" s="470"/>
      <c r="W1172" s="533">
        <f t="shared" ref="W1172" si="1419">I1194</f>
        <v>46</v>
      </c>
      <c r="X1172" s="533" t="e">
        <f>#REF!+1</f>
        <v>#REF!</v>
      </c>
      <c r="Y1172" s="533" t="e">
        <f t="shared" si="1387"/>
        <v>#REF!</v>
      </c>
      <c r="Z1172" s="533"/>
      <c r="AA1172" s="533"/>
      <c r="AB1172" s="435"/>
      <c r="AC1172" s="470"/>
      <c r="AD1172" s="470"/>
      <c r="AE1172" s="470"/>
      <c r="AF1172" s="470"/>
      <c r="AG1172" s="470"/>
      <c r="AH1172" s="470"/>
      <c r="AI1172" s="470"/>
      <c r="AJ1172" s="470"/>
      <c r="AK1172" s="470"/>
      <c r="AL1172" s="470"/>
      <c r="AM1172" s="470"/>
      <c r="AN1172" s="470"/>
    </row>
    <row r="1173" spans="1:40" s="470" customFormat="1" ht="15.75" customHeight="1" x14ac:dyDescent="0.15">
      <c r="A1173" s="457"/>
      <c r="B1173" s="473"/>
      <c r="C1173" s="474" t="str">
        <f>"   항목번호 : "&amp;목록!L$52</f>
        <v xml:space="preserve">   항목번호 : 제46호표</v>
      </c>
      <c r="D1173" s="475">
        <f>목록!B$1248</f>
        <v>0</v>
      </c>
      <c r="E1173" s="476"/>
      <c r="F1173" s="477"/>
      <c r="G1173" s="478"/>
      <c r="H1173" s="463" t="str">
        <f t="shared" si="1413"/>
        <v xml:space="preserve">   항목번호 : 제46호표</v>
      </c>
      <c r="I1173" s="479"/>
      <c r="J1173" s="480"/>
      <c r="K1173" s="481"/>
      <c r="L1173" s="482"/>
      <c r="M1173" s="482"/>
      <c r="N1173" s="482"/>
      <c r="O1173" s="466"/>
      <c r="P1173" s="483"/>
      <c r="Q1173" s="484"/>
      <c r="R1173" s="485"/>
      <c r="S1173" s="483"/>
      <c r="T1173" s="470" t="str">
        <f t="shared" si="1385"/>
        <v/>
      </c>
      <c r="V1173" s="551"/>
      <c r="W1173" s="471">
        <f t="shared" ref="W1173:X1173" si="1420">W1172</f>
        <v>46</v>
      </c>
      <c r="X1173" s="471" t="e">
        <f t="shared" si="1420"/>
        <v>#REF!</v>
      </c>
      <c r="Y1173" s="471" t="e">
        <f t="shared" si="1387"/>
        <v>#REF!</v>
      </c>
      <c r="Z1173" s="471"/>
      <c r="AA1173" s="471"/>
      <c r="AB1173" s="435"/>
    </row>
    <row r="1174" spans="1:40" s="470" customFormat="1" ht="15.75" customHeight="1" x14ac:dyDescent="0.15">
      <c r="A1174" s="457"/>
      <c r="B1174" s="473"/>
      <c r="C1174" s="474" t="str">
        <f>"   공      종 : "&amp;목록!D$52</f>
        <v xml:space="preserve">   공      종 : 수성페인트(로울러)</v>
      </c>
      <c r="D1174" s="484"/>
      <c r="E1174" s="476"/>
      <c r="F1174" s="473"/>
      <c r="G1174" s="478"/>
      <c r="H1174" s="463" t="str">
        <f t="shared" si="1413"/>
        <v xml:space="preserve">   공      종 : 수성페인트(로울러)</v>
      </c>
      <c r="I1174" s="479"/>
      <c r="J1174" s="480"/>
      <c r="K1174" s="481"/>
      <c r="L1174" s="482"/>
      <c r="M1174" s="482"/>
      <c r="N1174" s="482"/>
      <c r="O1174" s="466"/>
      <c r="P1174" s="483"/>
      <c r="Q1174" s="484"/>
      <c r="R1174" s="485"/>
      <c r="S1174" s="483"/>
      <c r="T1174" s="470" t="str">
        <f t="shared" si="1385"/>
        <v/>
      </c>
      <c r="U1174" s="457"/>
      <c r="W1174" s="471">
        <f t="shared" ref="W1174:X1174" si="1421">W1173</f>
        <v>46</v>
      </c>
      <c r="X1174" s="471" t="e">
        <f t="shared" si="1421"/>
        <v>#REF!</v>
      </c>
      <c r="Y1174" s="471" t="e">
        <f t="shared" si="1387"/>
        <v>#REF!</v>
      </c>
      <c r="Z1174" s="471"/>
      <c r="AA1174" s="471"/>
      <c r="AB1174" s="435"/>
      <c r="AC1174" s="457"/>
      <c r="AD1174" s="457"/>
      <c r="AE1174" s="457"/>
      <c r="AF1174" s="457"/>
      <c r="AG1174" s="457"/>
      <c r="AH1174" s="457"/>
      <c r="AI1174" s="457"/>
      <c r="AJ1174" s="457"/>
      <c r="AK1174" s="457"/>
      <c r="AL1174" s="457"/>
      <c r="AM1174" s="457"/>
      <c r="AN1174" s="457"/>
    </row>
    <row r="1175" spans="1:40" s="457" customFormat="1" ht="15.75" customHeight="1" x14ac:dyDescent="0.15">
      <c r="B1175" s="473"/>
      <c r="C1175" s="474" t="str">
        <f xml:space="preserve"> "   규      격 : "&amp;목록!F$52</f>
        <v xml:space="preserve">   규      격 : 내부천정3회</v>
      </c>
      <c r="D1175" s="484"/>
      <c r="E1175" s="476"/>
      <c r="F1175" s="473"/>
      <c r="G1175" s="478"/>
      <c r="H1175" s="463" t="str">
        <f t="shared" si="1413"/>
        <v xml:space="preserve">   규      격 : 내부천정3회</v>
      </c>
      <c r="I1175" s="479"/>
      <c r="J1175" s="480" t="s">
        <v>348</v>
      </c>
      <c r="K1175" s="481"/>
      <c r="L1175" s="482" t="s">
        <v>349</v>
      </c>
      <c r="M1175" s="482"/>
      <c r="N1175" s="482" t="s">
        <v>240</v>
      </c>
      <c r="O1175" s="466"/>
      <c r="P1175" s="483"/>
      <c r="Q1175" s="484" t="s">
        <v>802</v>
      </c>
      <c r="R1175" s="484"/>
      <c r="S1175" s="483"/>
      <c r="T1175" s="470" t="str">
        <f t="shared" si="1385"/>
        <v>합계</v>
      </c>
      <c r="V1175" s="547"/>
      <c r="W1175" s="471">
        <f t="shared" ref="W1175:X1175" si="1422">W1174</f>
        <v>46</v>
      </c>
      <c r="X1175" s="471" t="e">
        <f t="shared" si="1422"/>
        <v>#REF!</v>
      </c>
      <c r="Y1175" s="471" t="e">
        <f t="shared" si="1387"/>
        <v>#REF!</v>
      </c>
      <c r="Z1175" s="471"/>
      <c r="AA1175" s="471"/>
      <c r="AB1175" s="435"/>
    </row>
    <row r="1176" spans="1:40" s="457" customFormat="1" ht="15.75" customHeight="1" x14ac:dyDescent="0.15">
      <c r="B1176" s="473"/>
      <c r="C1176" s="474" t="str">
        <f>"   단      위 : "&amp;목록!G$52</f>
        <v xml:space="preserve">   단      위 : ㎡</v>
      </c>
      <c r="D1176" s="484"/>
      <c r="E1176" s="476"/>
      <c r="F1176" s="473"/>
      <c r="G1176" s="478"/>
      <c r="H1176" s="463" t="str">
        <f t="shared" si="1413"/>
        <v xml:space="preserve">   단      위 : ㎡</v>
      </c>
      <c r="I1176" s="479"/>
      <c r="J1176" s="486">
        <f>K1194</f>
        <v>2461</v>
      </c>
      <c r="K1176" s="481"/>
      <c r="L1176" s="487">
        <f>M1194</f>
        <v>10832</v>
      </c>
      <c r="M1176" s="482"/>
      <c r="N1176" s="482">
        <f>O1194</f>
        <v>0</v>
      </c>
      <c r="O1176" s="466"/>
      <c r="P1176" s="483"/>
      <c r="Q1176" s="488">
        <f>J1176+L1176+N1176</f>
        <v>13293</v>
      </c>
      <c r="R1176" s="489"/>
      <c r="S1176" s="483"/>
      <c r="T1176" s="470" t="str">
        <f t="shared" si="1385"/>
        <v>13293</v>
      </c>
      <c r="V1176" s="547"/>
      <c r="W1176" s="471">
        <f t="shared" ref="W1176:X1176" si="1423">W1175</f>
        <v>46</v>
      </c>
      <c r="X1176" s="471" t="e">
        <f t="shared" si="1423"/>
        <v>#REF!</v>
      </c>
      <c r="Y1176" s="471" t="e">
        <f t="shared" si="1387"/>
        <v>#REF!</v>
      </c>
      <c r="Z1176" s="471"/>
      <c r="AA1176" s="471"/>
      <c r="AB1176" s="435"/>
    </row>
    <row r="1177" spans="1:40" s="457" customFormat="1" ht="15.75" customHeight="1" x14ac:dyDescent="0.15">
      <c r="B1177" s="473"/>
      <c r="C1177" s="474"/>
      <c r="D1177" s="484"/>
      <c r="E1177" s="476"/>
      <c r="F1177" s="473"/>
      <c r="G1177" s="490"/>
      <c r="H1177" s="463" t="str">
        <f t="shared" si="1413"/>
        <v/>
      </c>
      <c r="I1177" s="491"/>
      <c r="J1177" s="482"/>
      <c r="K1177" s="465"/>
      <c r="L1177" s="482"/>
      <c r="M1177" s="482"/>
      <c r="N1177" s="482"/>
      <c r="O1177" s="466"/>
      <c r="P1177" s="492"/>
      <c r="Q1177" s="493"/>
      <c r="R1177" s="485"/>
      <c r="S1177" s="492"/>
      <c r="T1177" s="470" t="str">
        <f t="shared" si="1385"/>
        <v/>
      </c>
      <c r="V1177" s="547"/>
      <c r="W1177" s="471">
        <f t="shared" ref="W1177:X1177" si="1424">W1176</f>
        <v>46</v>
      </c>
      <c r="X1177" s="471" t="e">
        <f t="shared" si="1424"/>
        <v>#REF!</v>
      </c>
      <c r="Y1177" s="471" t="e">
        <f t="shared" si="1387"/>
        <v>#REF!</v>
      </c>
      <c r="Z1177" s="471"/>
      <c r="AA1177" s="471"/>
      <c r="AB1177" s="435"/>
    </row>
    <row r="1178" spans="1:40" s="457" customFormat="1" ht="15.75" customHeight="1" x14ac:dyDescent="0.15">
      <c r="B1178" s="899" t="s">
        <v>375</v>
      </c>
      <c r="C1178" s="900"/>
      <c r="D1178" s="907" t="s">
        <v>356</v>
      </c>
      <c r="E1178" s="908"/>
      <c r="F1178" s="903" t="s">
        <v>790</v>
      </c>
      <c r="G1178" s="913" t="s">
        <v>791</v>
      </c>
      <c r="H1178" s="463" t="str">
        <f t="shared" si="1413"/>
        <v>단위</v>
      </c>
      <c r="I1178" s="494"/>
      <c r="J1178" s="495" t="s">
        <v>348</v>
      </c>
      <c r="K1178" s="496"/>
      <c r="L1178" s="495" t="s">
        <v>349</v>
      </c>
      <c r="M1178" s="496"/>
      <c r="N1178" s="497" t="s">
        <v>240</v>
      </c>
      <c r="O1178" s="497"/>
      <c r="P1178" s="498"/>
      <c r="Q1178" s="744" t="s">
        <v>355</v>
      </c>
      <c r="R1178" s="744"/>
      <c r="S1178" s="499"/>
      <c r="T1178" s="470" t="str">
        <f t="shared" si="1385"/>
        <v>비  고</v>
      </c>
      <c r="V1178" s="547"/>
      <c r="W1178" s="471">
        <f t="shared" ref="W1178:X1178" si="1425">W1177</f>
        <v>46</v>
      </c>
      <c r="X1178" s="471" t="e">
        <f t="shared" si="1425"/>
        <v>#REF!</v>
      </c>
      <c r="Y1178" s="471" t="e">
        <f t="shared" si="1387"/>
        <v>#REF!</v>
      </c>
      <c r="Z1178" s="471"/>
      <c r="AA1178" s="471"/>
      <c r="AB1178" s="435"/>
    </row>
    <row r="1179" spans="1:40" s="457" customFormat="1" ht="15.75" customHeight="1" x14ac:dyDescent="0.15">
      <c r="B1179" s="901"/>
      <c r="C1179" s="902"/>
      <c r="D1179" s="909"/>
      <c r="E1179" s="910"/>
      <c r="F1179" s="904"/>
      <c r="G1179" s="914"/>
      <c r="H1179" s="463" t="str">
        <f t="shared" si="1413"/>
        <v/>
      </c>
      <c r="I1179" s="500"/>
      <c r="J1179" s="501" t="s">
        <v>353</v>
      </c>
      <c r="K1179" s="501" t="s">
        <v>354</v>
      </c>
      <c r="L1179" s="501" t="s">
        <v>353</v>
      </c>
      <c r="M1179" s="502" t="s">
        <v>354</v>
      </c>
      <c r="N1179" s="501" t="s">
        <v>353</v>
      </c>
      <c r="O1179" s="501" t="s">
        <v>354</v>
      </c>
      <c r="P1179" s="503"/>
      <c r="Q1179" s="745"/>
      <c r="R1179" s="745"/>
      <c r="S1179" s="504"/>
      <c r="T1179" s="470" t="str">
        <f t="shared" si="1385"/>
        <v/>
      </c>
      <c r="V1179" s="547"/>
      <c r="W1179" s="471">
        <f t="shared" ref="W1179:X1179" si="1426">W1178</f>
        <v>46</v>
      </c>
      <c r="X1179" s="471" t="e">
        <f t="shared" si="1426"/>
        <v>#REF!</v>
      </c>
      <c r="Y1179" s="471" t="e">
        <f t="shared" si="1387"/>
        <v>#REF!</v>
      </c>
      <c r="Z1179" s="471"/>
      <c r="AA1179" s="471"/>
      <c r="AB1179" s="435"/>
    </row>
    <row r="1180" spans="1:40" s="457" customFormat="1" ht="15.75" customHeight="1" x14ac:dyDescent="0.15">
      <c r="A1180" s="547"/>
      <c r="B1180" s="95"/>
      <c r="C1180" s="214" t="s">
        <v>523</v>
      </c>
      <c r="D1180" s="95"/>
      <c r="E1180" s="541" t="s">
        <v>524</v>
      </c>
      <c r="F1180" s="96" t="s">
        <v>360</v>
      </c>
      <c r="G1180" s="505">
        <v>0.29599999999999999</v>
      </c>
      <c r="H1180" s="463" t="str">
        <f t="shared" si="1413"/>
        <v>수성페인트KSM6010 2종1급ℓ</v>
      </c>
      <c r="I1180" s="451" t="str">
        <f t="shared" ref="I1180:I1188" si="1427">CONCATENATE(C1180,E1180,F1180)</f>
        <v>수성페인트KSM6010 2종1급ℓ</v>
      </c>
      <c r="J1180" s="506">
        <f>IF(OR($F1180="인",$F1180=""),"",VLOOKUP($H1180,단가!$A:$S,19,FALSE))</f>
        <v>2470</v>
      </c>
      <c r="K1180" s="507">
        <f t="shared" ref="K1180:K1188" si="1428">IF(J1180="","",TRUNC($G1180*J1180,0))</f>
        <v>731</v>
      </c>
      <c r="L1180" s="506" t="str">
        <f>IF($F1180="인",VLOOKUP($C:$C,노임!$C:$G,4,FALSE),"")</f>
        <v/>
      </c>
      <c r="M1180" s="507" t="str">
        <f>IF(L1180="","",TRUNC($G1180*L1180,0))</f>
        <v/>
      </c>
      <c r="N1180" s="507"/>
      <c r="O1180" s="507" t="str">
        <f>IF(N1180="","",TRUNC($G1180*N1180,0))</f>
        <v/>
      </c>
      <c r="P1180" s="508"/>
      <c r="Q1180" s="509" t="str">
        <f>IF(F1180="인","노임"&amp;VLOOKUP($C:$C,노임!C:G,5,FALSE)&amp;"번","단가"&amp;VLOOKUP($H:$H,단가!$A:$B,2,FALSE)&amp;"번")</f>
        <v>단가28번</v>
      </c>
      <c r="R1180" s="510"/>
      <c r="S1180" s="131"/>
      <c r="T1180" s="470" t="str">
        <f t="shared" si="1385"/>
        <v>단가28번</v>
      </c>
      <c r="V1180" s="548"/>
      <c r="W1180" s="471">
        <f t="shared" ref="W1180:X1180" si="1429">W1179</f>
        <v>46</v>
      </c>
      <c r="X1180" s="471" t="e">
        <f t="shared" si="1429"/>
        <v>#REF!</v>
      </c>
      <c r="Y1180" s="471" t="e">
        <f t="shared" si="1387"/>
        <v>#REF!</v>
      </c>
      <c r="Z1180" s="471"/>
      <c r="AA1180" s="471"/>
      <c r="AB1180" s="435"/>
    </row>
    <row r="1181" spans="1:40" s="457" customFormat="1" ht="15.75" customHeight="1" x14ac:dyDescent="0.15">
      <c r="A1181" s="547"/>
      <c r="B1181" s="95"/>
      <c r="C1181" s="140" t="s">
        <v>944</v>
      </c>
      <c r="D1181" s="95"/>
      <c r="E1181" s="141" t="s">
        <v>945</v>
      </c>
      <c r="F1181" s="96" t="s">
        <v>946</v>
      </c>
      <c r="G1181" s="505">
        <v>0.25</v>
      </c>
      <c r="H1181" s="463" t="str">
        <f t="shared" si="1413"/>
        <v>연마지#120매</v>
      </c>
      <c r="I1181" s="451" t="str">
        <f t="shared" si="1427"/>
        <v>연마지#120매</v>
      </c>
      <c r="J1181" s="506">
        <f>IF(OR($F1181="인",$F1181=""),"",VLOOKUP($H1181,단가!$A:$S,19,FALSE))</f>
        <v>200</v>
      </c>
      <c r="K1181" s="507">
        <f t="shared" si="1428"/>
        <v>50</v>
      </c>
      <c r="L1181" s="506" t="str">
        <f>IF($F1181="인",VLOOKUP($C:$C,노임!$C:$G,4,FALSE),"")</f>
        <v/>
      </c>
      <c r="M1181" s="507" t="str">
        <f>IF(L1181="","",TRUNC($G1181*L1181,0))</f>
        <v/>
      </c>
      <c r="N1181" s="507"/>
      <c r="O1181" s="507" t="str">
        <f>IF(N1181="","",TRUNC($G1181*N1181,0))</f>
        <v/>
      </c>
      <c r="P1181" s="508"/>
      <c r="Q1181" s="509" t="str">
        <f>IF(F1181="인","노임"&amp;VLOOKUP($C:$C,노임!C:G,5,FALSE)&amp;"번","단가"&amp;VLOOKUP($H:$H,단가!$A:$B,2,FALSE)&amp;"번")</f>
        <v>단가57번</v>
      </c>
      <c r="R1181" s="510"/>
      <c r="S1181" s="131"/>
      <c r="T1181" s="470" t="str">
        <f t="shared" si="1385"/>
        <v>단가57번</v>
      </c>
      <c r="V1181" s="548"/>
      <c r="W1181" s="471">
        <f t="shared" ref="W1181:X1181" si="1430">W1180</f>
        <v>46</v>
      </c>
      <c r="X1181" s="471" t="e">
        <f t="shared" si="1430"/>
        <v>#REF!</v>
      </c>
      <c r="Y1181" s="471" t="e">
        <f t="shared" ref="Y1181:Y1197" si="1431">X1181-W1181</f>
        <v>#REF!</v>
      </c>
      <c r="Z1181" s="471"/>
      <c r="AA1181" s="471"/>
      <c r="AB1181" s="435"/>
    </row>
    <row r="1182" spans="1:40" s="457" customFormat="1" ht="15.75" customHeight="1" x14ac:dyDescent="0.15">
      <c r="A1182" s="470"/>
      <c r="B1182" s="95"/>
      <c r="C1182" s="212" t="s">
        <v>269</v>
      </c>
      <c r="D1182" s="213"/>
      <c r="E1182" s="541" t="s">
        <v>969</v>
      </c>
      <c r="F1182" s="94" t="s">
        <v>364</v>
      </c>
      <c r="G1182" s="505">
        <f>TRUNC(0.012*3*120%,4)</f>
        <v>4.3200000000000002E-2</v>
      </c>
      <c r="H1182" s="463" t="str">
        <f t="shared" si="1413"/>
        <v>도장공칠인</v>
      </c>
      <c r="I1182" s="451" t="str">
        <f t="shared" si="1427"/>
        <v>도장공칠인</v>
      </c>
      <c r="J1182" s="506" t="str">
        <f>IF(OR($F1182="인",$F1182=""),"",VLOOKUP($H1182,단가!$A:$S,19,FALSE))</f>
        <v/>
      </c>
      <c r="K1182" s="507" t="str">
        <f t="shared" si="1428"/>
        <v/>
      </c>
      <c r="L1182" s="506">
        <f>IF($F1182="인",VLOOKUP($C:$C,노임!$C:$G,4,FALSE),"")</f>
        <v>148659</v>
      </c>
      <c r="M1182" s="507">
        <f>IF(L1182="","",TRUNC($G1182*L1182,0))</f>
        <v>6422</v>
      </c>
      <c r="N1182" s="507"/>
      <c r="O1182" s="507" t="str">
        <f>IF(N1182="","",TRUNC($G1182*N1182,0))</f>
        <v/>
      </c>
      <c r="P1182" s="508"/>
      <c r="Q1182" s="509" t="str">
        <f>IF(F1182="인","노임"&amp;VLOOKUP($C:$C,노임!C:G,5,FALSE)&amp;"번","단가"&amp;VLOOKUP($H:$H,단가!$A:$B,2,FALSE)&amp;"번")</f>
        <v>노임1029번</v>
      </c>
      <c r="R1182" s="510"/>
      <c r="S1182" s="131"/>
      <c r="T1182" s="470" t="str">
        <f t="shared" si="1385"/>
        <v>노임1029번</v>
      </c>
      <c r="V1182" s="549"/>
      <c r="W1182" s="471">
        <f t="shared" ref="W1182:X1182" si="1432">W1181</f>
        <v>46</v>
      </c>
      <c r="X1182" s="471" t="e">
        <f t="shared" si="1432"/>
        <v>#REF!</v>
      </c>
      <c r="Y1182" s="471" t="e">
        <f t="shared" si="1431"/>
        <v>#REF!</v>
      </c>
      <c r="Z1182" s="471"/>
      <c r="AA1182" s="471"/>
      <c r="AB1182" s="435"/>
    </row>
    <row r="1183" spans="1:40" s="457" customFormat="1" ht="15.75" customHeight="1" x14ac:dyDescent="0.15">
      <c r="A1183" s="470"/>
      <c r="B1183" s="95"/>
      <c r="C1183" s="193" t="s">
        <v>761</v>
      </c>
      <c r="D1183" s="205"/>
      <c r="E1183" s="541" t="s">
        <v>969</v>
      </c>
      <c r="F1183" s="207" t="s">
        <v>762</v>
      </c>
      <c r="G1183" s="505">
        <f>TRUNC(0.002*3*120%,4)</f>
        <v>7.1999999999999998E-3</v>
      </c>
      <c r="H1183" s="463" t="str">
        <f t="shared" si="1413"/>
        <v>보통인부칠인</v>
      </c>
      <c r="I1183" s="451" t="str">
        <f t="shared" si="1427"/>
        <v>보통인부칠인</v>
      </c>
      <c r="J1183" s="506" t="str">
        <f>IF(OR($F1183="인",$F1183=""),"",VLOOKUP($H1183,단가!$A:$S,19,FALSE))</f>
        <v/>
      </c>
      <c r="K1183" s="507" t="str">
        <f t="shared" si="1428"/>
        <v/>
      </c>
      <c r="L1183" s="506">
        <f>IF($F1183="인",VLOOKUP($C:$C,노임!$C:$G,4,FALSE),"")</f>
        <v>106846</v>
      </c>
      <c r="M1183" s="507">
        <f>IF(L1183="","",TRUNC($G1183*L1183,0))</f>
        <v>769</v>
      </c>
      <c r="N1183" s="507"/>
      <c r="O1183" s="507" t="str">
        <f>IF(N1183="","",TRUNC($G1183*N1183,0))</f>
        <v/>
      </c>
      <c r="P1183" s="508"/>
      <c r="Q1183" s="509" t="str">
        <f>IF(F1183="인","노임"&amp;VLOOKUP($C:$C,노임!C:G,5,FALSE)&amp;"번","단가"&amp;VLOOKUP($H:$H,단가!$A:$B,2,FALSE)&amp;"번")</f>
        <v>노임1002번</v>
      </c>
      <c r="R1183" s="510"/>
      <c r="S1183" s="131"/>
      <c r="T1183" s="470" t="str">
        <f t="shared" si="1385"/>
        <v>노임1002번</v>
      </c>
      <c r="U1183" s="470"/>
      <c r="V1183" s="549"/>
      <c r="W1183" s="471">
        <f t="shared" ref="W1183:X1183" si="1433">W1182</f>
        <v>46</v>
      </c>
      <c r="X1183" s="471" t="e">
        <f t="shared" si="1433"/>
        <v>#REF!</v>
      </c>
      <c r="Y1183" s="471" t="e">
        <f t="shared" si="1431"/>
        <v>#REF!</v>
      </c>
      <c r="Z1183" s="471"/>
      <c r="AA1183" s="471"/>
      <c r="AB1183" s="435"/>
      <c r="AC1183" s="470"/>
      <c r="AD1183" s="470"/>
      <c r="AE1183" s="470"/>
      <c r="AF1183" s="470"/>
      <c r="AG1183" s="470"/>
      <c r="AH1183" s="470"/>
      <c r="AI1183" s="470"/>
      <c r="AJ1183" s="470"/>
      <c r="AK1183" s="470"/>
      <c r="AL1183" s="470"/>
      <c r="AM1183" s="470"/>
      <c r="AN1183" s="470"/>
    </row>
    <row r="1184" spans="1:40" s="470" customFormat="1" ht="15.75" customHeight="1" x14ac:dyDescent="0.15">
      <c r="B1184" s="95"/>
      <c r="C1184" s="567" t="s">
        <v>373</v>
      </c>
      <c r="D1184" s="213"/>
      <c r="E1184" s="541" t="s">
        <v>519</v>
      </c>
      <c r="F1184" s="94" t="s">
        <v>811</v>
      </c>
      <c r="G1184" s="505">
        <v>1</v>
      </c>
      <c r="H1184" s="463" t="str">
        <f t="shared" si="1413"/>
        <v>공구손료인력품의2%식</v>
      </c>
      <c r="I1184" s="451" t="str">
        <f t="shared" si="1427"/>
        <v>공구손료인력품의2%식</v>
      </c>
      <c r="J1184" s="506">
        <f>TRUNC(M1183*2%,0)</f>
        <v>15</v>
      </c>
      <c r="K1184" s="507">
        <f t="shared" si="1428"/>
        <v>15</v>
      </c>
      <c r="L1184" s="506"/>
      <c r="M1184" s="507"/>
      <c r="N1184" s="507"/>
      <c r="O1184" s="507"/>
      <c r="P1184" s="508"/>
      <c r="Q1184" s="512"/>
      <c r="R1184" s="534"/>
      <c r="S1184" s="131"/>
      <c r="T1184" s="470" t="str">
        <f t="shared" si="1385"/>
        <v/>
      </c>
      <c r="V1184" s="549"/>
      <c r="W1184" s="471">
        <f t="shared" ref="W1184:X1184" si="1434">W1183</f>
        <v>46</v>
      </c>
      <c r="X1184" s="471" t="e">
        <f t="shared" si="1434"/>
        <v>#REF!</v>
      </c>
      <c r="Y1184" s="471" t="e">
        <f t="shared" si="1431"/>
        <v>#REF!</v>
      </c>
      <c r="Z1184" s="471"/>
      <c r="AA1184" s="471"/>
      <c r="AB1184" s="435"/>
    </row>
    <row r="1185" spans="1:40" s="470" customFormat="1" ht="15.75" customHeight="1" x14ac:dyDescent="0.15">
      <c r="B1185" s="95"/>
      <c r="C1185" s="140" t="s">
        <v>572</v>
      </c>
      <c r="D1185" s="95"/>
      <c r="E1185" s="541" t="s">
        <v>947</v>
      </c>
      <c r="F1185" s="94" t="s">
        <v>1017</v>
      </c>
      <c r="G1185" s="505">
        <v>1</v>
      </c>
      <c r="H1185" s="463" t="str">
        <f>CONCATENATE(C1185,E1185,F1185)</f>
        <v>잡재료 및 소모재료주재료비의 6%식</v>
      </c>
      <c r="I1185" s="451" t="str">
        <f t="shared" si="1427"/>
        <v>잡재료 및 소모재료주재료비의 6%식</v>
      </c>
      <c r="J1185" s="506">
        <f>TRUNC((K1180)*6%,0)</f>
        <v>43</v>
      </c>
      <c r="K1185" s="507">
        <f t="shared" si="1428"/>
        <v>43</v>
      </c>
      <c r="L1185" s="506" t="str">
        <f>IF($F1185="인",VLOOKUP($C:$C,노임!$C:$G,4,FALSE),"")</f>
        <v/>
      </c>
      <c r="M1185" s="507" t="str">
        <f t="shared" ref="M1185:M1190" si="1435">IF(L1185="","",TRUNC($G1185*L1185,0))</f>
        <v/>
      </c>
      <c r="N1185" s="507"/>
      <c r="O1185" s="507" t="str">
        <f t="shared" ref="O1185:O1190" si="1436">IF(N1185="","",TRUNC($G1185*N1185,0))</f>
        <v/>
      </c>
      <c r="P1185" s="508"/>
      <c r="Q1185" s="509"/>
      <c r="R1185" s="510"/>
      <c r="S1185" s="131"/>
      <c r="T1185" s="470" t="str">
        <f t="shared" si="1385"/>
        <v/>
      </c>
      <c r="V1185" s="549"/>
      <c r="W1185" s="471">
        <f t="shared" ref="W1185:X1185" si="1437">W1184</f>
        <v>46</v>
      </c>
      <c r="X1185" s="471" t="e">
        <f t="shared" si="1437"/>
        <v>#REF!</v>
      </c>
      <c r="Y1185" s="471" t="e">
        <f t="shared" si="1431"/>
        <v>#REF!</v>
      </c>
      <c r="Z1185" s="471"/>
      <c r="AA1185" s="471"/>
      <c r="AB1185" s="435"/>
    </row>
    <row r="1186" spans="1:40" s="470" customFormat="1" ht="15.75" customHeight="1" x14ac:dyDescent="0.15">
      <c r="B1186" s="95"/>
      <c r="C1186" s="440" t="s">
        <v>928</v>
      </c>
      <c r="D1186" s="95"/>
      <c r="E1186" s="141"/>
      <c r="F1186" s="94" t="s">
        <v>818</v>
      </c>
      <c r="G1186" s="505">
        <v>1</v>
      </c>
      <c r="H1186" s="463" t="str">
        <f>CONCATENATE(C1186,E1186,F1186)</f>
        <v>도장작업시보양작업㎡</v>
      </c>
      <c r="I1186" s="451" t="str">
        <f t="shared" si="1427"/>
        <v>도장작업시보양작업㎡</v>
      </c>
      <c r="J1186" s="506">
        <f>VLOOKUP($H1186,목록!$A:$K,8,FALSE)</f>
        <v>1384</v>
      </c>
      <c r="K1186" s="507">
        <f t="shared" si="1428"/>
        <v>1384</v>
      </c>
      <c r="L1186" s="506">
        <f>VLOOKUP($H1186,목록!$A:$K,9,FALSE)</f>
        <v>1602</v>
      </c>
      <c r="M1186" s="507">
        <f t="shared" si="1435"/>
        <v>1602</v>
      </c>
      <c r="N1186" s="506" t="str">
        <f>VLOOKUP($H1186,목록!$A:$K,10,FALSE)</f>
        <v/>
      </c>
      <c r="O1186" s="507" t="str">
        <f t="shared" si="1436"/>
        <v/>
      </c>
      <c r="P1186" s="508"/>
      <c r="Q1186" s="509" t="str">
        <f>"제"&amp;VLOOKUP($H:$H,목록!$A:$B,2,FALSE)&amp;"호표"</f>
        <v>제40호표</v>
      </c>
      <c r="R1186" s="550"/>
      <c r="S1186" s="131"/>
      <c r="T1186" s="470" t="str">
        <f t="shared" si="1385"/>
        <v>제40호표</v>
      </c>
      <c r="V1186" s="549"/>
      <c r="W1186" s="471">
        <f t="shared" ref="W1186:X1186" si="1438">W1185</f>
        <v>46</v>
      </c>
      <c r="X1186" s="471" t="e">
        <f t="shared" si="1438"/>
        <v>#REF!</v>
      </c>
      <c r="Y1186" s="471" t="e">
        <f t="shared" si="1431"/>
        <v>#REF!</v>
      </c>
      <c r="Z1186" s="471"/>
      <c r="AA1186" s="471"/>
      <c r="AB1186" s="435"/>
    </row>
    <row r="1187" spans="1:40" s="457" customFormat="1" ht="15.75" customHeight="1" x14ac:dyDescent="0.15">
      <c r="B1187" s="95"/>
      <c r="C1187" s="437" t="s">
        <v>463</v>
      </c>
      <c r="D1187" s="439"/>
      <c r="E1187" s="441" t="s">
        <v>464</v>
      </c>
      <c r="F1187" s="438" t="s">
        <v>357</v>
      </c>
      <c r="G1187" s="505">
        <f>0.06*2</f>
        <v>0.12</v>
      </c>
      <c r="H1187" s="463" t="str">
        <f t="shared" ref="H1187:H1192" si="1439">CONCATENATE(C1187,E1187,F1187)</f>
        <v>퍼티핸디택스(인테리어전용)Kg</v>
      </c>
      <c r="I1187" s="451" t="str">
        <f t="shared" si="1427"/>
        <v>퍼티핸디택스(인테리어전용)Kg</v>
      </c>
      <c r="J1187" s="506">
        <f>IF(OR($F1187="인",$F1187=""),"",VLOOKUP($H1187,단가!$A:$S,19,FALSE))</f>
        <v>1150</v>
      </c>
      <c r="K1187" s="507">
        <f t="shared" si="1428"/>
        <v>138</v>
      </c>
      <c r="L1187" s="506" t="str">
        <f>IF($F1187="인",VLOOKUP($C:$C,노임!$C:$G,4,FALSE),"")</f>
        <v/>
      </c>
      <c r="M1187" s="507" t="str">
        <f t="shared" si="1435"/>
        <v/>
      </c>
      <c r="N1187" s="507"/>
      <c r="O1187" s="507" t="str">
        <f t="shared" si="1436"/>
        <v/>
      </c>
      <c r="P1187" s="508"/>
      <c r="Q1187" s="512" t="str">
        <f>IF(F1187="인","노임"&amp;VLOOKUP($C:$C,노임!C:G,5,FALSE)&amp;"번","단가"&amp;VLOOKUP($H:$H,단가!$A:$B,2,FALSE)&amp;"번")</f>
        <v>단가39번</v>
      </c>
      <c r="R1187" s="534"/>
      <c r="S1187" s="131"/>
      <c r="T1187" s="470" t="str">
        <f t="shared" si="1385"/>
        <v>단가39번</v>
      </c>
      <c r="U1187" s="470"/>
      <c r="V1187" s="458"/>
      <c r="W1187" s="471">
        <f t="shared" ref="W1187:X1187" si="1440">W1186</f>
        <v>46</v>
      </c>
      <c r="X1187" s="471" t="e">
        <f t="shared" si="1440"/>
        <v>#REF!</v>
      </c>
      <c r="Y1187" s="471" t="e">
        <f t="shared" si="1431"/>
        <v>#REF!</v>
      </c>
      <c r="Z1187" s="471"/>
      <c r="AA1187" s="471"/>
      <c r="AC1187" s="470"/>
      <c r="AD1187" s="470"/>
      <c r="AF1187" s="470"/>
      <c r="AG1187" s="470"/>
      <c r="AH1187" s="470"/>
      <c r="AI1187" s="470"/>
      <c r="AJ1187" s="470"/>
      <c r="AK1187" s="470"/>
      <c r="AL1187" s="470"/>
      <c r="AM1187" s="470"/>
      <c r="AN1187" s="470"/>
    </row>
    <row r="1188" spans="1:40" s="470" customFormat="1" ht="15.75" customHeight="1" x14ac:dyDescent="0.15">
      <c r="A1188" s="457"/>
      <c r="B1188" s="95"/>
      <c r="C1188" s="437" t="s">
        <v>477</v>
      </c>
      <c r="D1188" s="439"/>
      <c r="E1188" s="441" t="s">
        <v>479</v>
      </c>
      <c r="F1188" s="438" t="s">
        <v>478</v>
      </c>
      <c r="G1188" s="505">
        <f>0.25*2</f>
        <v>0.5</v>
      </c>
      <c r="H1188" s="463" t="str">
        <f t="shared" si="1439"/>
        <v>연마지#120매</v>
      </c>
      <c r="I1188" s="451" t="str">
        <f t="shared" si="1427"/>
        <v>연마지#120매</v>
      </c>
      <c r="J1188" s="506">
        <f>IF(OR($F1188="인",$F1188=""),"",VLOOKUP($H1188,단가!$A:$S,19,FALSE))</f>
        <v>200</v>
      </c>
      <c r="K1188" s="507">
        <f t="shared" si="1428"/>
        <v>100</v>
      </c>
      <c r="L1188" s="506" t="str">
        <f>IF($F1188="인",VLOOKUP($C:$C,노임!$C:$G,4,FALSE),"")</f>
        <v/>
      </c>
      <c r="M1188" s="507" t="str">
        <f t="shared" si="1435"/>
        <v/>
      </c>
      <c r="N1188" s="507"/>
      <c r="O1188" s="507" t="str">
        <f t="shared" si="1436"/>
        <v/>
      </c>
      <c r="P1188" s="508"/>
      <c r="Q1188" s="512" t="str">
        <f>IF(F1188="인","노임"&amp;VLOOKUP($C:$C,노임!C:G,5,FALSE)&amp;"번","단가"&amp;VLOOKUP($H:$H,단가!$A:$B,2,FALSE)&amp;"번")</f>
        <v>단가57번</v>
      </c>
      <c r="R1188" s="534"/>
      <c r="S1188" s="131"/>
      <c r="T1188" s="470" t="str">
        <f t="shared" si="1385"/>
        <v>단가57번</v>
      </c>
      <c r="V1188" s="458"/>
      <c r="W1188" s="471">
        <f t="shared" ref="W1188:X1188" si="1441">W1187</f>
        <v>46</v>
      </c>
      <c r="X1188" s="471" t="e">
        <f t="shared" si="1441"/>
        <v>#REF!</v>
      </c>
      <c r="Y1188" s="471" t="e">
        <f t="shared" si="1431"/>
        <v>#REF!</v>
      </c>
      <c r="Z1188" s="471"/>
      <c r="AA1188" s="471"/>
    </row>
    <row r="1189" spans="1:40" s="457" customFormat="1" ht="15.75" customHeight="1" x14ac:dyDescent="0.15">
      <c r="A1189" s="547"/>
      <c r="B1189" s="95"/>
      <c r="C1189" s="140" t="s">
        <v>913</v>
      </c>
      <c r="D1189" s="95"/>
      <c r="E1189" s="141" t="s">
        <v>966</v>
      </c>
      <c r="F1189" s="207" t="s">
        <v>856</v>
      </c>
      <c r="G1189" s="505">
        <f>TRUNC(0.005*2*120%,4)</f>
        <v>1.2E-2</v>
      </c>
      <c r="H1189" s="463" t="str">
        <f t="shared" si="1439"/>
        <v>도장공도장후 퍼티연마인</v>
      </c>
      <c r="I1189" s="451" t="str">
        <f>CONCATENATE(C1189,E1189,F1189)</f>
        <v>도장공도장후 퍼티연마인</v>
      </c>
      <c r="J1189" s="506" t="str">
        <f>IF(OR($F1189="인",$F1189=""),"",VLOOKUP($H1189,단가!$A:$S,19,FALSE))</f>
        <v/>
      </c>
      <c r="K1189" s="507" t="str">
        <f>IF(J1189="","",TRUNC($G1189*J1189,0))</f>
        <v/>
      </c>
      <c r="L1189" s="506">
        <f>IF($F1189="인",VLOOKUP($C:$C,노임!$C:$G,4,FALSE),"")</f>
        <v>148659</v>
      </c>
      <c r="M1189" s="507">
        <f t="shared" si="1435"/>
        <v>1783</v>
      </c>
      <c r="N1189" s="507"/>
      <c r="O1189" s="507" t="str">
        <f t="shared" si="1436"/>
        <v/>
      </c>
      <c r="P1189" s="508"/>
      <c r="Q1189" s="509" t="str">
        <f>IF(F1189="인","노임"&amp;VLOOKUP($C:$C,노임!C:G,5,FALSE)&amp;"번","단가"&amp;VLOOKUP($H:$H,단가!$A:$B,2,FALSE)&amp;"번")</f>
        <v>노임1029번</v>
      </c>
      <c r="R1189" s="510"/>
      <c r="S1189" s="131"/>
      <c r="T1189" s="470" t="str">
        <f t="shared" si="1385"/>
        <v>노임1029번</v>
      </c>
      <c r="V1189" s="548"/>
      <c r="W1189" s="471">
        <f t="shared" ref="W1189:X1189" si="1442">W1188</f>
        <v>46</v>
      </c>
      <c r="X1189" s="471" t="e">
        <f t="shared" si="1442"/>
        <v>#REF!</v>
      </c>
      <c r="Y1189" s="471" t="e">
        <f t="shared" si="1431"/>
        <v>#REF!</v>
      </c>
      <c r="Z1189" s="471"/>
      <c r="AA1189" s="471"/>
      <c r="AB1189" s="435"/>
    </row>
    <row r="1190" spans="1:40" s="457" customFormat="1" ht="15.75" customHeight="1" x14ac:dyDescent="0.15">
      <c r="A1190" s="470"/>
      <c r="B1190" s="95"/>
      <c r="C1190" s="140" t="s">
        <v>767</v>
      </c>
      <c r="D1190" s="95"/>
      <c r="E1190" s="141" t="s">
        <v>966</v>
      </c>
      <c r="F1190" s="207" t="s">
        <v>750</v>
      </c>
      <c r="G1190" s="505">
        <f>TRUNC(0.001*2*120%,4)</f>
        <v>2.3999999999999998E-3</v>
      </c>
      <c r="H1190" s="463" t="str">
        <f t="shared" si="1439"/>
        <v>보통인부도장후 퍼티연마인</v>
      </c>
      <c r="I1190" s="451" t="str">
        <f>CONCATENATE(C1190,E1190,F1190)</f>
        <v>보통인부도장후 퍼티연마인</v>
      </c>
      <c r="J1190" s="506" t="str">
        <f>IF(OR($F1190="인",$F1190=""),"",VLOOKUP($H1190,단가!$A:$S,19,FALSE))</f>
        <v/>
      </c>
      <c r="K1190" s="507" t="str">
        <f>IF(J1190="","",TRUNC($G1190*J1190,0))</f>
        <v/>
      </c>
      <c r="L1190" s="506">
        <f>IF($F1190="인",VLOOKUP($C:$C,노임!$C:$G,4,FALSE),"")</f>
        <v>106846</v>
      </c>
      <c r="M1190" s="507">
        <f t="shared" si="1435"/>
        <v>256</v>
      </c>
      <c r="N1190" s="507"/>
      <c r="O1190" s="507" t="str">
        <f t="shared" si="1436"/>
        <v/>
      </c>
      <c r="P1190" s="508"/>
      <c r="Q1190" s="509" t="str">
        <f>IF(F1190="인","노임"&amp;VLOOKUP($C:$C,노임!C:G,5,FALSE)&amp;"번","단가"&amp;VLOOKUP($H:$H,단가!$A:$B,2,FALSE)&amp;"번")</f>
        <v>노임1002번</v>
      </c>
      <c r="R1190" s="510"/>
      <c r="S1190" s="131"/>
      <c r="T1190" s="470" t="str">
        <f t="shared" si="1385"/>
        <v>노임1002번</v>
      </c>
      <c r="V1190" s="549"/>
      <c r="W1190" s="471">
        <f t="shared" ref="W1190:X1190" si="1443">W1189</f>
        <v>46</v>
      </c>
      <c r="X1190" s="471" t="e">
        <f t="shared" si="1443"/>
        <v>#REF!</v>
      </c>
      <c r="Y1190" s="471" t="e">
        <f t="shared" si="1431"/>
        <v>#REF!</v>
      </c>
      <c r="Z1190" s="471"/>
      <c r="AA1190" s="471"/>
      <c r="AB1190" s="435"/>
    </row>
    <row r="1191" spans="1:40" s="457" customFormat="1" ht="15.75" customHeight="1" x14ac:dyDescent="0.15">
      <c r="A1191" s="470"/>
      <c r="B1191" s="95"/>
      <c r="C1191" s="140"/>
      <c r="D1191" s="95"/>
      <c r="E1191" s="141"/>
      <c r="F1191" s="94"/>
      <c r="G1191" s="505"/>
      <c r="H1191" s="463" t="str">
        <f t="shared" si="1439"/>
        <v/>
      </c>
      <c r="I1191" s="451"/>
      <c r="J1191" s="506"/>
      <c r="K1191" s="507"/>
      <c r="L1191" s="506"/>
      <c r="M1191" s="507"/>
      <c r="N1191" s="507"/>
      <c r="O1191" s="507"/>
      <c r="P1191" s="508"/>
      <c r="Q1191" s="512"/>
      <c r="R1191" s="513"/>
      <c r="S1191" s="131"/>
      <c r="T1191" s="470" t="str">
        <f t="shared" si="1385"/>
        <v/>
      </c>
      <c r="U1191" s="470"/>
      <c r="V1191" s="549"/>
      <c r="W1191" s="471">
        <f t="shared" ref="W1191:X1191" si="1444">W1190</f>
        <v>46</v>
      </c>
      <c r="X1191" s="471" t="e">
        <f t="shared" si="1444"/>
        <v>#REF!</v>
      </c>
      <c r="Y1191" s="471" t="e">
        <f t="shared" si="1431"/>
        <v>#REF!</v>
      </c>
      <c r="Z1191" s="471"/>
      <c r="AA1191" s="471"/>
      <c r="AB1191" s="435"/>
      <c r="AC1191" s="470"/>
      <c r="AD1191" s="470"/>
      <c r="AE1191" s="470"/>
      <c r="AN1191" s="470"/>
    </row>
    <row r="1192" spans="1:40" s="470" customFormat="1" ht="15.75" customHeight="1" x14ac:dyDescent="0.15">
      <c r="B1192" s="95"/>
      <c r="C1192" s="140"/>
      <c r="D1192" s="95"/>
      <c r="E1192" s="141"/>
      <c r="F1192" s="94"/>
      <c r="G1192" s="505"/>
      <c r="H1192" s="463" t="str">
        <f t="shared" si="1439"/>
        <v/>
      </c>
      <c r="I1192" s="451"/>
      <c r="J1192" s="506"/>
      <c r="K1192" s="507"/>
      <c r="L1192" s="506"/>
      <c r="M1192" s="507"/>
      <c r="N1192" s="507"/>
      <c r="O1192" s="507"/>
      <c r="P1192" s="508"/>
      <c r="Q1192" s="512"/>
      <c r="R1192" s="534"/>
      <c r="S1192" s="131"/>
      <c r="T1192" s="470" t="str">
        <f t="shared" si="1385"/>
        <v/>
      </c>
      <c r="V1192" s="549"/>
      <c r="W1192" s="471">
        <f t="shared" ref="W1192:X1192" si="1445">W1191</f>
        <v>46</v>
      </c>
      <c r="X1192" s="471" t="e">
        <f t="shared" si="1445"/>
        <v>#REF!</v>
      </c>
      <c r="Y1192" s="471" t="e">
        <f t="shared" si="1431"/>
        <v>#REF!</v>
      </c>
      <c r="Z1192" s="471"/>
      <c r="AA1192" s="471"/>
      <c r="AB1192" s="435"/>
    </row>
    <row r="1193" spans="1:40" s="470" customFormat="1" ht="15.75" customHeight="1" x14ac:dyDescent="0.15">
      <c r="B1193" s="95"/>
      <c r="C1193" s="140"/>
      <c r="D1193" s="95"/>
      <c r="E1193" s="141"/>
      <c r="F1193" s="94"/>
      <c r="G1193" s="505"/>
      <c r="H1193" s="463" t="str">
        <f t="shared" ref="H1193:H1197" si="1446">CONCATENATE(C1193,E1193,F1193)</f>
        <v/>
      </c>
      <c r="I1193" s="451"/>
      <c r="J1193" s="506"/>
      <c r="K1193" s="507"/>
      <c r="L1193" s="506"/>
      <c r="M1193" s="507"/>
      <c r="N1193" s="507"/>
      <c r="O1193" s="507"/>
      <c r="P1193" s="508"/>
      <c r="Q1193" s="512"/>
      <c r="R1193" s="513"/>
      <c r="S1193" s="131"/>
      <c r="T1193" s="470" t="str">
        <f t="shared" si="1385"/>
        <v/>
      </c>
      <c r="V1193" s="549"/>
      <c r="W1193" s="471">
        <f t="shared" ref="W1193:X1193" si="1447">W1192</f>
        <v>46</v>
      </c>
      <c r="X1193" s="471" t="e">
        <f t="shared" si="1447"/>
        <v>#REF!</v>
      </c>
      <c r="Y1193" s="471" t="e">
        <f t="shared" si="1431"/>
        <v>#REF!</v>
      </c>
      <c r="Z1193" s="471"/>
      <c r="AA1193" s="471"/>
      <c r="AB1193" s="435"/>
    </row>
    <row r="1194" spans="1:40" s="470" customFormat="1" ht="15.75" customHeight="1" x14ac:dyDescent="0.15">
      <c r="B1194" s="514" t="s">
        <v>929</v>
      </c>
      <c r="C1194" s="515"/>
      <c r="D1194" s="516"/>
      <c r="E1194" s="517"/>
      <c r="F1194" s="518"/>
      <c r="G1194" s="519"/>
      <c r="H1194" s="463" t="str">
        <f t="shared" si="1446"/>
        <v/>
      </c>
      <c r="I1194" s="520">
        <f>목록!$B$52</f>
        <v>46</v>
      </c>
      <c r="J1194" s="521"/>
      <c r="K1194" s="522">
        <f>SUM(K1180:K1193)</f>
        <v>2461</v>
      </c>
      <c r="L1194" s="521"/>
      <c r="M1194" s="522">
        <f>SUM(M1180:M1193)</f>
        <v>10832</v>
      </c>
      <c r="N1194" s="521"/>
      <c r="O1194" s="522">
        <f>SUM(O1180:O1193)</f>
        <v>0</v>
      </c>
      <c r="P1194" s="523"/>
      <c r="Q1194" s="512"/>
      <c r="R1194" s="513"/>
      <c r="S1194" s="524"/>
      <c r="T1194" s="470" t="str">
        <f t="shared" si="1385"/>
        <v/>
      </c>
      <c r="V1194" s="549"/>
      <c r="W1194" s="471">
        <f t="shared" ref="W1194:X1194" si="1448">W1193</f>
        <v>46</v>
      </c>
      <c r="X1194" s="471" t="e">
        <f t="shared" si="1448"/>
        <v>#REF!</v>
      </c>
      <c r="Y1194" s="471" t="e">
        <f t="shared" si="1431"/>
        <v>#REF!</v>
      </c>
      <c r="Z1194" s="471"/>
      <c r="AA1194" s="471"/>
      <c r="AB1194" s="435"/>
    </row>
    <row r="1195" spans="1:40" s="470" customFormat="1" ht="15.75" customHeight="1" x14ac:dyDescent="0.15">
      <c r="B1195" s="453"/>
      <c r="C1195" s="209" t="s">
        <v>1081</v>
      </c>
      <c r="D1195" s="95"/>
      <c r="E1195" s="141"/>
      <c r="F1195" s="94"/>
      <c r="G1195" s="505"/>
      <c r="H1195" s="463" t="str">
        <f t="shared" si="1446"/>
        <v>※ 건축표준품셈 : 17-1-2 도장 후 퍼티 및 연마 / 17-2-2 수성페인트 로울러(천장 품20%가산)</v>
      </c>
      <c r="I1195" s="451"/>
      <c r="J1195" s="506"/>
      <c r="K1195" s="507"/>
      <c r="L1195" s="506"/>
      <c r="M1195" s="507"/>
      <c r="N1195" s="507"/>
      <c r="O1195" s="507"/>
      <c r="P1195" s="508"/>
      <c r="Q1195" s="512"/>
      <c r="R1195" s="513"/>
      <c r="S1195" s="131"/>
      <c r="T1195" s="470" t="str">
        <f t="shared" si="1385"/>
        <v/>
      </c>
      <c r="V1195" s="549"/>
      <c r="W1195" s="615">
        <f t="shared" ref="W1195:X1195" si="1449">W1194</f>
        <v>46</v>
      </c>
      <c r="X1195" s="471" t="e">
        <f t="shared" si="1449"/>
        <v>#REF!</v>
      </c>
      <c r="Y1195" s="471" t="e">
        <f t="shared" si="1431"/>
        <v>#REF!</v>
      </c>
      <c r="Z1195" s="471"/>
      <c r="AA1195" s="471"/>
      <c r="AB1195" s="435"/>
    </row>
    <row r="1196" spans="1:40" s="470" customFormat="1" ht="15.75" customHeight="1" x14ac:dyDescent="0.15">
      <c r="A1196" s="457"/>
      <c r="B1196" s="453"/>
      <c r="C1196" s="209" t="s">
        <v>967</v>
      </c>
      <c r="D1196" s="95"/>
      <c r="E1196" s="141"/>
      <c r="F1196" s="94"/>
      <c r="G1196" s="505"/>
      <c r="H1196" s="463" t="str">
        <f t="shared" si="1446"/>
        <v>※ 공정순서 : ALL PUTTY(별도계상) → 천장칠 → 도장후퍼티연마 → 천장칠(2차) → 도장후퍼티연마(2차) → 천장칠(마감)</v>
      </c>
      <c r="I1196" s="451"/>
      <c r="J1196" s="506"/>
      <c r="K1196" s="507"/>
      <c r="L1196" s="506"/>
      <c r="M1196" s="507"/>
      <c r="N1196" s="507"/>
      <c r="O1196" s="507"/>
      <c r="P1196" s="508"/>
      <c r="Q1196" s="512"/>
      <c r="R1196" s="513"/>
      <c r="S1196" s="131"/>
      <c r="T1196" s="470" t="str">
        <f t="shared" ref="T1196:T1197" si="1450">CONCATENATE(Q1196,R1196)</f>
        <v/>
      </c>
      <c r="V1196" s="551"/>
      <c r="W1196" s="471">
        <f t="shared" ref="W1196:X1196" si="1451">W1195</f>
        <v>46</v>
      </c>
      <c r="X1196" s="471" t="e">
        <f t="shared" si="1451"/>
        <v>#REF!</v>
      </c>
      <c r="Y1196" s="471" t="e">
        <f t="shared" si="1431"/>
        <v>#REF!</v>
      </c>
      <c r="Z1196" s="471"/>
      <c r="AA1196" s="471"/>
      <c r="AB1196" s="435"/>
    </row>
    <row r="1197" spans="1:40" s="470" customFormat="1" ht="15.75" customHeight="1" x14ac:dyDescent="0.15">
      <c r="B1197" s="514"/>
      <c r="C1197" s="209"/>
      <c r="D1197" s="516"/>
      <c r="E1197" s="517"/>
      <c r="F1197" s="518"/>
      <c r="G1197" s="519"/>
      <c r="H1197" s="463" t="str">
        <f t="shared" si="1446"/>
        <v/>
      </c>
      <c r="I1197" s="520"/>
      <c r="J1197" s="521"/>
      <c r="K1197" s="522"/>
      <c r="L1197" s="521"/>
      <c r="M1197" s="522"/>
      <c r="N1197" s="521"/>
      <c r="O1197" s="522"/>
      <c r="P1197" s="523"/>
      <c r="Q1197" s="512"/>
      <c r="R1197" s="513"/>
      <c r="S1197" s="524"/>
      <c r="T1197" s="470" t="str">
        <f t="shared" si="1450"/>
        <v/>
      </c>
      <c r="U1197" s="457"/>
      <c r="W1197" s="471">
        <f t="shared" ref="W1197:X1197" si="1452">W1196</f>
        <v>46</v>
      </c>
      <c r="X1197" s="471" t="e">
        <f t="shared" si="1452"/>
        <v>#REF!</v>
      </c>
      <c r="Y1197" s="471" t="e">
        <f t="shared" si="1431"/>
        <v>#REF!</v>
      </c>
      <c r="Z1197" s="471"/>
      <c r="AA1197" s="471"/>
      <c r="AB1197" s="435"/>
      <c r="AC1197" s="457"/>
      <c r="AD1197" s="457"/>
      <c r="AE1197" s="457"/>
      <c r="AF1197" s="457"/>
      <c r="AG1197" s="457"/>
      <c r="AH1197" s="457"/>
      <c r="AI1197" s="457"/>
      <c r="AJ1197" s="457"/>
      <c r="AK1197" s="457"/>
      <c r="AL1197" s="457"/>
      <c r="AM1197" s="457"/>
      <c r="AN1197" s="457"/>
    </row>
    <row r="1198" spans="1:40" s="457" customFormat="1" ht="15.75" customHeight="1" x14ac:dyDescent="0.15">
      <c r="A1198" s="470"/>
      <c r="C1198" s="458"/>
      <c r="D1198" s="459"/>
      <c r="E1198" s="460"/>
      <c r="F1198" s="461"/>
      <c r="G1198" s="462"/>
      <c r="H1198" s="463" t="str">
        <f t="shared" ref="H1198:H1205" si="1453">CONCATENATE(C1198,E1198,F1198)</f>
        <v/>
      </c>
      <c r="I1198" s="464"/>
      <c r="J1198" s="465"/>
      <c r="K1198" s="465"/>
      <c r="L1198" s="465"/>
      <c r="M1198" s="465"/>
      <c r="N1198" s="465"/>
      <c r="O1198" s="466"/>
      <c r="P1198" s="467"/>
      <c r="Q1198" s="468"/>
      <c r="R1198" s="469"/>
      <c r="S1198" s="467"/>
      <c r="T1198" s="470" t="str">
        <f t="shared" ref="T1198:T1223" si="1454">CONCATENATE(Q1198,R1198)</f>
        <v/>
      </c>
      <c r="U1198" s="470"/>
      <c r="V1198" s="443"/>
      <c r="W1198" s="533">
        <f t="shared" ref="W1198" si="1455">I1220</f>
        <v>47</v>
      </c>
      <c r="X1198" s="533" t="e">
        <f>#REF!+1</f>
        <v>#REF!</v>
      </c>
      <c r="Y1198" s="533" t="e">
        <f t="shared" ref="Y1198:Y1223" si="1456">X1198-W1198</f>
        <v>#REF!</v>
      </c>
      <c r="Z1198" s="533"/>
      <c r="AA1198" s="533"/>
      <c r="AB1198" s="435"/>
      <c r="AC1198" s="470"/>
      <c r="AD1198" s="470"/>
      <c r="AE1198" s="470"/>
      <c r="AF1198" s="470"/>
      <c r="AG1198" s="470"/>
      <c r="AH1198" s="470"/>
      <c r="AI1198" s="470"/>
      <c r="AJ1198" s="470"/>
      <c r="AK1198" s="470"/>
      <c r="AL1198" s="470"/>
      <c r="AM1198" s="470"/>
      <c r="AN1198" s="470"/>
    </row>
    <row r="1199" spans="1:40" s="470" customFormat="1" ht="15.75" customHeight="1" x14ac:dyDescent="0.15">
      <c r="A1199" s="457"/>
      <c r="B1199" s="473"/>
      <c r="C1199" s="474" t="str">
        <f>"   항목번호 : "&amp;목록!L$53</f>
        <v xml:space="preserve">   항목번호 : 제47호표</v>
      </c>
      <c r="D1199" s="475" t="e">
        <f>목록!#REF!</f>
        <v>#REF!</v>
      </c>
      <c r="E1199" s="476"/>
      <c r="F1199" s="477"/>
      <c r="G1199" s="478"/>
      <c r="H1199" s="463" t="str">
        <f t="shared" si="1453"/>
        <v xml:space="preserve">   항목번호 : 제47호표</v>
      </c>
      <c r="I1199" s="479"/>
      <c r="J1199" s="480"/>
      <c r="K1199" s="481"/>
      <c r="L1199" s="482"/>
      <c r="M1199" s="482"/>
      <c r="N1199" s="482"/>
      <c r="O1199" s="466"/>
      <c r="P1199" s="483"/>
      <c r="Q1199" s="484"/>
      <c r="R1199" s="485"/>
      <c r="S1199" s="483"/>
      <c r="T1199" s="470" t="str">
        <f t="shared" si="1454"/>
        <v/>
      </c>
      <c r="V1199" s="443"/>
      <c r="W1199" s="471">
        <f t="shared" ref="W1199:X1199" si="1457">W1198</f>
        <v>47</v>
      </c>
      <c r="X1199" s="471" t="e">
        <f t="shared" si="1457"/>
        <v>#REF!</v>
      </c>
      <c r="Y1199" s="471" t="e">
        <f t="shared" si="1456"/>
        <v>#REF!</v>
      </c>
      <c r="Z1199" s="471"/>
      <c r="AA1199" s="471"/>
      <c r="AB1199" s="435"/>
    </row>
    <row r="1200" spans="1:40" s="470" customFormat="1" ht="15.75" customHeight="1" x14ac:dyDescent="0.15">
      <c r="A1200" s="457"/>
      <c r="B1200" s="473"/>
      <c r="C1200" s="474" t="str">
        <f>"   공      종 : "&amp;목록!D$53</f>
        <v xml:space="preserve">   공      종 : 유리끼우기</v>
      </c>
      <c r="D1200" s="484"/>
      <c r="E1200" s="476"/>
      <c r="F1200" s="473"/>
      <c r="G1200" s="478"/>
      <c r="H1200" s="463" t="str">
        <f t="shared" si="1453"/>
        <v xml:space="preserve">   공      종 : 유리끼우기</v>
      </c>
      <c r="I1200" s="479"/>
      <c r="J1200" s="480"/>
      <c r="K1200" s="481"/>
      <c r="L1200" s="482"/>
      <c r="M1200" s="482"/>
      <c r="N1200" s="482"/>
      <c r="O1200" s="466"/>
      <c r="P1200" s="483"/>
      <c r="Q1200" s="484"/>
      <c r="R1200" s="485"/>
      <c r="S1200" s="483"/>
      <c r="T1200" s="470" t="str">
        <f t="shared" si="1454"/>
        <v/>
      </c>
      <c r="U1200" s="457"/>
      <c r="W1200" s="471">
        <f t="shared" ref="W1200:X1200" si="1458">W1199</f>
        <v>47</v>
      </c>
      <c r="X1200" s="471" t="e">
        <f t="shared" si="1458"/>
        <v>#REF!</v>
      </c>
      <c r="Y1200" s="471" t="e">
        <f t="shared" si="1456"/>
        <v>#REF!</v>
      </c>
      <c r="Z1200" s="471"/>
      <c r="AA1200" s="471"/>
      <c r="AB1200" s="435"/>
      <c r="AC1200" s="457"/>
      <c r="AD1200" s="457"/>
      <c r="AE1200" s="457"/>
      <c r="AF1200" s="457"/>
      <c r="AG1200" s="457"/>
      <c r="AH1200" s="457"/>
      <c r="AI1200" s="457"/>
      <c r="AJ1200" s="457"/>
      <c r="AK1200" s="457"/>
      <c r="AL1200" s="457"/>
      <c r="AM1200" s="457"/>
      <c r="AN1200" s="457"/>
    </row>
    <row r="1201" spans="1:28" s="457" customFormat="1" ht="15.75" customHeight="1" x14ac:dyDescent="0.15">
      <c r="B1201" s="473"/>
      <c r="C1201" s="474" t="str">
        <f xml:space="preserve"> "   규      격 : "&amp;목록!F$53</f>
        <v xml:space="preserve">   규      격 : THK=10mm 미만</v>
      </c>
      <c r="D1201" s="484"/>
      <c r="E1201" s="476"/>
      <c r="F1201" s="473"/>
      <c r="G1201" s="478"/>
      <c r="H1201" s="463" t="str">
        <f t="shared" si="1453"/>
        <v xml:space="preserve">   규      격 : THK=10mm 미만</v>
      </c>
      <c r="I1201" s="479"/>
      <c r="J1201" s="480" t="s">
        <v>348</v>
      </c>
      <c r="K1201" s="481"/>
      <c r="L1201" s="482" t="s">
        <v>349</v>
      </c>
      <c r="M1201" s="482"/>
      <c r="N1201" s="482" t="s">
        <v>240</v>
      </c>
      <c r="O1201" s="466"/>
      <c r="P1201" s="483"/>
      <c r="Q1201" s="484" t="s">
        <v>752</v>
      </c>
      <c r="R1201" s="484"/>
      <c r="S1201" s="483"/>
      <c r="T1201" s="470" t="str">
        <f t="shared" si="1454"/>
        <v>합계</v>
      </c>
      <c r="V1201" s="547"/>
      <c r="W1201" s="471">
        <f t="shared" ref="W1201:X1201" si="1459">W1200</f>
        <v>47</v>
      </c>
      <c r="X1201" s="471" t="e">
        <f t="shared" si="1459"/>
        <v>#REF!</v>
      </c>
      <c r="Y1201" s="471" t="e">
        <f t="shared" si="1456"/>
        <v>#REF!</v>
      </c>
      <c r="Z1201" s="471"/>
      <c r="AA1201" s="471"/>
      <c r="AB1201" s="435"/>
    </row>
    <row r="1202" spans="1:28" s="457" customFormat="1" ht="15.75" customHeight="1" x14ac:dyDescent="0.15">
      <c r="B1202" s="473"/>
      <c r="C1202" s="474" t="str">
        <f>"   단      위 : "&amp;목록!G$53</f>
        <v xml:space="preserve">   단      위 : ㎡</v>
      </c>
      <c r="D1202" s="484"/>
      <c r="E1202" s="476"/>
      <c r="F1202" s="473"/>
      <c r="G1202" s="478"/>
      <c r="H1202" s="463" t="str">
        <f t="shared" si="1453"/>
        <v xml:space="preserve">   단      위 : ㎡</v>
      </c>
      <c r="I1202" s="479"/>
      <c r="J1202" s="486">
        <f>K1220</f>
        <v>1500</v>
      </c>
      <c r="K1202" s="481"/>
      <c r="L1202" s="487">
        <f>M1220</f>
        <v>15742</v>
      </c>
      <c r="M1202" s="482"/>
      <c r="N1202" s="482">
        <f>O1220</f>
        <v>0</v>
      </c>
      <c r="O1202" s="466"/>
      <c r="P1202" s="483"/>
      <c r="Q1202" s="488">
        <f>J1202+L1202+N1202</f>
        <v>17242</v>
      </c>
      <c r="R1202" s="489"/>
      <c r="S1202" s="483"/>
      <c r="T1202" s="470" t="str">
        <f t="shared" si="1454"/>
        <v>17242</v>
      </c>
      <c r="V1202" s="547"/>
      <c r="W1202" s="471">
        <f t="shared" ref="W1202:X1202" si="1460">W1201</f>
        <v>47</v>
      </c>
      <c r="X1202" s="471" t="e">
        <f t="shared" si="1460"/>
        <v>#REF!</v>
      </c>
      <c r="Y1202" s="471" t="e">
        <f t="shared" si="1456"/>
        <v>#REF!</v>
      </c>
      <c r="Z1202" s="471"/>
      <c r="AA1202" s="471"/>
      <c r="AB1202" s="435"/>
    </row>
    <row r="1203" spans="1:28" s="457" customFormat="1" ht="15.75" customHeight="1" x14ac:dyDescent="0.15">
      <c r="B1203" s="473"/>
      <c r="C1203" s="474"/>
      <c r="D1203" s="484"/>
      <c r="E1203" s="476"/>
      <c r="F1203" s="473"/>
      <c r="G1203" s="490"/>
      <c r="H1203" s="463" t="str">
        <f t="shared" si="1453"/>
        <v/>
      </c>
      <c r="I1203" s="491"/>
      <c r="J1203" s="482"/>
      <c r="K1203" s="465"/>
      <c r="L1203" s="482"/>
      <c r="M1203" s="482"/>
      <c r="N1203" s="482"/>
      <c r="O1203" s="466"/>
      <c r="P1203" s="492"/>
      <c r="Q1203" s="493"/>
      <c r="R1203" s="485"/>
      <c r="S1203" s="492"/>
      <c r="T1203" s="470" t="str">
        <f t="shared" si="1454"/>
        <v/>
      </c>
      <c r="V1203" s="547"/>
      <c r="W1203" s="471">
        <f t="shared" ref="W1203:X1203" si="1461">W1202</f>
        <v>47</v>
      </c>
      <c r="X1203" s="471" t="e">
        <f t="shared" si="1461"/>
        <v>#REF!</v>
      </c>
      <c r="Y1203" s="471" t="e">
        <f t="shared" si="1456"/>
        <v>#REF!</v>
      </c>
      <c r="Z1203" s="471"/>
      <c r="AA1203" s="471"/>
      <c r="AB1203" s="435"/>
    </row>
    <row r="1204" spans="1:28" s="457" customFormat="1" ht="15.75" customHeight="1" x14ac:dyDescent="0.15">
      <c r="B1204" s="899" t="s">
        <v>375</v>
      </c>
      <c r="C1204" s="900"/>
      <c r="D1204" s="907" t="s">
        <v>356</v>
      </c>
      <c r="E1204" s="908"/>
      <c r="F1204" s="903" t="s">
        <v>780</v>
      </c>
      <c r="G1204" s="913" t="s">
        <v>781</v>
      </c>
      <c r="H1204" s="463" t="str">
        <f t="shared" si="1453"/>
        <v>단위</v>
      </c>
      <c r="I1204" s="494"/>
      <c r="J1204" s="495" t="s">
        <v>348</v>
      </c>
      <c r="K1204" s="496"/>
      <c r="L1204" s="495" t="s">
        <v>349</v>
      </c>
      <c r="M1204" s="496"/>
      <c r="N1204" s="497" t="s">
        <v>240</v>
      </c>
      <c r="O1204" s="497"/>
      <c r="P1204" s="498"/>
      <c r="Q1204" s="744" t="s">
        <v>355</v>
      </c>
      <c r="R1204" s="744"/>
      <c r="S1204" s="499"/>
      <c r="T1204" s="470" t="str">
        <f t="shared" si="1454"/>
        <v>비  고</v>
      </c>
      <c r="V1204" s="547"/>
      <c r="W1204" s="471">
        <f t="shared" ref="W1204:X1204" si="1462">W1203</f>
        <v>47</v>
      </c>
      <c r="X1204" s="471" t="e">
        <f t="shared" si="1462"/>
        <v>#REF!</v>
      </c>
      <c r="Y1204" s="471" t="e">
        <f t="shared" si="1456"/>
        <v>#REF!</v>
      </c>
      <c r="Z1204" s="471"/>
      <c r="AA1204" s="471"/>
      <c r="AB1204" s="435"/>
    </row>
    <row r="1205" spans="1:28" s="457" customFormat="1" ht="15.75" customHeight="1" x14ac:dyDescent="0.15">
      <c r="B1205" s="901"/>
      <c r="C1205" s="902"/>
      <c r="D1205" s="909"/>
      <c r="E1205" s="910"/>
      <c r="F1205" s="904"/>
      <c r="G1205" s="914"/>
      <c r="H1205" s="463" t="str">
        <f t="shared" si="1453"/>
        <v/>
      </c>
      <c r="I1205" s="500"/>
      <c r="J1205" s="501" t="s">
        <v>353</v>
      </c>
      <c r="K1205" s="501" t="s">
        <v>354</v>
      </c>
      <c r="L1205" s="501" t="s">
        <v>353</v>
      </c>
      <c r="M1205" s="502" t="s">
        <v>354</v>
      </c>
      <c r="N1205" s="501" t="s">
        <v>353</v>
      </c>
      <c r="O1205" s="501" t="s">
        <v>354</v>
      </c>
      <c r="P1205" s="503"/>
      <c r="Q1205" s="745"/>
      <c r="R1205" s="745"/>
      <c r="S1205" s="504"/>
      <c r="T1205" s="470" t="str">
        <f t="shared" si="1454"/>
        <v/>
      </c>
      <c r="V1205" s="547"/>
      <c r="W1205" s="471">
        <f t="shared" ref="W1205:X1205" si="1463">W1204</f>
        <v>47</v>
      </c>
      <c r="X1205" s="471" t="e">
        <f t="shared" si="1463"/>
        <v>#REF!</v>
      </c>
      <c r="Y1205" s="471" t="e">
        <f t="shared" si="1456"/>
        <v>#REF!</v>
      </c>
      <c r="Z1205" s="471"/>
      <c r="AA1205" s="471"/>
      <c r="AB1205" s="435"/>
    </row>
    <row r="1206" spans="1:28" s="457" customFormat="1" ht="15.75" customHeight="1" x14ac:dyDescent="0.15">
      <c r="A1206" s="470"/>
      <c r="B1206" s="95"/>
      <c r="C1206" s="193" t="s">
        <v>265</v>
      </c>
      <c r="D1206" s="205"/>
      <c r="E1206" s="206"/>
      <c r="F1206" s="207" t="s">
        <v>364</v>
      </c>
      <c r="G1206" s="505">
        <v>0.106</v>
      </c>
      <c r="H1206" s="463" t="str">
        <f>CONCATENATE(C1206,E1206,F1206)</f>
        <v>유리공인</v>
      </c>
      <c r="I1206" s="451" t="str">
        <f>CONCATENATE(C1206,E1206,F1206)</f>
        <v>유리공인</v>
      </c>
      <c r="J1206" s="506" t="str">
        <f>IF(OR($F1206="인",$F1206=""),"",VLOOKUP($H1206,단가!$A:$S,19,FALSE))</f>
        <v/>
      </c>
      <c r="K1206" s="507" t="str">
        <f>IF(J1206="","",TRUNC($G1206*J1206,0))</f>
        <v/>
      </c>
      <c r="L1206" s="506">
        <f>IF($F1206="인",VLOOKUP($C:$C,노임!$C:$G,4,FALSE),"")</f>
        <v>148516</v>
      </c>
      <c r="M1206" s="507">
        <f>IF(L1206="","",TRUNC($G1206*L1206,0))</f>
        <v>15742</v>
      </c>
      <c r="N1206" s="507"/>
      <c r="O1206" s="507" t="str">
        <f>IF(N1206="","",TRUNC($G1206*N1206,0))</f>
        <v/>
      </c>
      <c r="P1206" s="508"/>
      <c r="Q1206" s="512" t="str">
        <f>IF(F1206="인","노임"&amp;VLOOKUP($C:$C,노임!C:G,5,FALSE)&amp;"번","단가"&amp;VLOOKUP($H:$H,단가!$A:$B,2,FALSE)&amp;"번")</f>
        <v>노임1025번</v>
      </c>
      <c r="R1206" s="534"/>
      <c r="S1206" s="131"/>
      <c r="T1206" s="470" t="str">
        <f t="shared" si="1454"/>
        <v>노임1025번</v>
      </c>
      <c r="V1206" s="549"/>
      <c r="W1206" s="471">
        <f t="shared" ref="W1206:X1206" si="1464">W1205</f>
        <v>47</v>
      </c>
      <c r="X1206" s="471" t="e">
        <f t="shared" si="1464"/>
        <v>#REF!</v>
      </c>
      <c r="Y1206" s="471" t="e">
        <f t="shared" si="1456"/>
        <v>#REF!</v>
      </c>
      <c r="Z1206" s="471"/>
      <c r="AA1206" s="471"/>
      <c r="AB1206" s="435"/>
    </row>
    <row r="1207" spans="1:28" s="470" customFormat="1" ht="15.75" customHeight="1" x14ac:dyDescent="0.15">
      <c r="B1207" s="95"/>
      <c r="C1207" s="440" t="s">
        <v>607</v>
      </c>
      <c r="D1207" s="95"/>
      <c r="E1207" s="141"/>
      <c r="F1207" s="94" t="s">
        <v>350</v>
      </c>
      <c r="G1207" s="505">
        <v>1</v>
      </c>
      <c r="H1207" s="463" t="str">
        <f>CONCATENATE(C1207,E1207,F1207)</f>
        <v>유리설치후 보양작업㎡</v>
      </c>
      <c r="I1207" s="451" t="str">
        <f>CONCATENATE(C1207,E1207,F1207)</f>
        <v>유리설치후 보양작업㎡</v>
      </c>
      <c r="J1207" s="506">
        <f>IF(OR($F1207="인",$F1207=""),"",VLOOKUP($H1207,단가!$A:$S,19,FALSE))</f>
        <v>1500</v>
      </c>
      <c r="K1207" s="507">
        <f>IF(J1207="","",TRUNC($G1207*J1207,0))</f>
        <v>1500</v>
      </c>
      <c r="L1207" s="506" t="str">
        <f>IF($F1207="인",VLOOKUP($C:$C,노임!$C:$G,4,FALSE),"")</f>
        <v/>
      </c>
      <c r="M1207" s="507" t="str">
        <f>IF(L1207="","",TRUNC($G1207*L1207,0))</f>
        <v/>
      </c>
      <c r="N1207" s="507"/>
      <c r="O1207" s="507" t="str">
        <f>IF(N1207="","",TRUNC($G1207*N1207,0))</f>
        <v/>
      </c>
      <c r="P1207" s="508"/>
      <c r="Q1207" s="512" t="str">
        <f>IF(F1207="인","노임"&amp;VLOOKUP($C:$C,노임!C:G,5,FALSE)&amp;"번","단가"&amp;VLOOKUP($H:$H,단가!$A:$B,2,FALSE)&amp;"번")</f>
        <v>단가76번</v>
      </c>
      <c r="R1207" s="513"/>
      <c r="S1207" s="131"/>
      <c r="T1207" s="470" t="str">
        <f t="shared" si="1454"/>
        <v>단가76번</v>
      </c>
      <c r="V1207" s="549"/>
      <c r="W1207" s="471">
        <f t="shared" ref="W1207:X1207" si="1465">W1206</f>
        <v>47</v>
      </c>
      <c r="X1207" s="471" t="e">
        <f t="shared" si="1465"/>
        <v>#REF!</v>
      </c>
      <c r="Y1207" s="471" t="e">
        <f t="shared" si="1456"/>
        <v>#REF!</v>
      </c>
      <c r="Z1207" s="471"/>
      <c r="AA1207" s="471"/>
      <c r="AB1207" s="435"/>
    </row>
    <row r="1208" spans="1:28" s="457" customFormat="1" ht="15.75" customHeight="1" x14ac:dyDescent="0.15">
      <c r="A1208" s="470"/>
      <c r="B1208" s="95"/>
      <c r="C1208" s="193"/>
      <c r="D1208" s="205"/>
      <c r="E1208" s="206"/>
      <c r="F1208" s="207"/>
      <c r="G1208" s="505"/>
      <c r="H1208" s="463"/>
      <c r="I1208" s="451"/>
      <c r="J1208" s="506"/>
      <c r="K1208" s="507"/>
      <c r="L1208" s="506"/>
      <c r="M1208" s="507"/>
      <c r="N1208" s="507"/>
      <c r="O1208" s="507"/>
      <c r="P1208" s="508"/>
      <c r="Q1208" s="512"/>
      <c r="R1208" s="534"/>
      <c r="S1208" s="131"/>
      <c r="T1208" s="470" t="str">
        <f t="shared" si="1454"/>
        <v/>
      </c>
      <c r="V1208" s="549"/>
      <c r="W1208" s="471">
        <f t="shared" ref="W1208:X1208" si="1466">W1207</f>
        <v>47</v>
      </c>
      <c r="X1208" s="471" t="e">
        <f t="shared" si="1466"/>
        <v>#REF!</v>
      </c>
      <c r="Y1208" s="471" t="e">
        <f t="shared" si="1456"/>
        <v>#REF!</v>
      </c>
      <c r="Z1208" s="471"/>
      <c r="AA1208" s="471"/>
      <c r="AB1208" s="435"/>
    </row>
    <row r="1209" spans="1:28" s="470" customFormat="1" ht="15.75" customHeight="1" x14ac:dyDescent="0.15">
      <c r="B1209" s="95"/>
      <c r="C1209" s="440"/>
      <c r="D1209" s="95"/>
      <c r="E1209" s="141"/>
      <c r="F1209" s="94"/>
      <c r="G1209" s="505"/>
      <c r="H1209" s="463"/>
      <c r="I1209" s="451"/>
      <c r="J1209" s="506"/>
      <c r="K1209" s="507"/>
      <c r="L1209" s="506"/>
      <c r="M1209" s="507"/>
      <c r="N1209" s="507"/>
      <c r="O1209" s="507"/>
      <c r="P1209" s="508"/>
      <c r="Q1209" s="512"/>
      <c r="R1209" s="513"/>
      <c r="S1209" s="131"/>
      <c r="T1209" s="470" t="str">
        <f t="shared" si="1454"/>
        <v/>
      </c>
      <c r="V1209" s="549"/>
      <c r="W1209" s="471">
        <f t="shared" ref="W1209:X1209" si="1467">W1208</f>
        <v>47</v>
      </c>
      <c r="X1209" s="471" t="e">
        <f t="shared" si="1467"/>
        <v>#REF!</v>
      </c>
      <c r="Y1209" s="471" t="e">
        <f t="shared" si="1456"/>
        <v>#REF!</v>
      </c>
      <c r="Z1209" s="471"/>
      <c r="AA1209" s="471"/>
      <c r="AB1209" s="435"/>
    </row>
    <row r="1210" spans="1:28" s="470" customFormat="1" ht="15.75" customHeight="1" x14ac:dyDescent="0.15">
      <c r="B1210" s="95"/>
      <c r="C1210" s="140"/>
      <c r="D1210" s="95"/>
      <c r="E1210" s="141"/>
      <c r="F1210" s="94"/>
      <c r="G1210" s="505"/>
      <c r="H1210" s="463" t="str">
        <f>CONCATENATE(C1210,E1210,F1210)</f>
        <v/>
      </c>
      <c r="I1210" s="451"/>
      <c r="J1210" s="506"/>
      <c r="K1210" s="507"/>
      <c r="L1210" s="506"/>
      <c r="M1210" s="507"/>
      <c r="N1210" s="507"/>
      <c r="O1210" s="507"/>
      <c r="P1210" s="508"/>
      <c r="Q1210" s="512"/>
      <c r="R1210" s="513"/>
      <c r="S1210" s="131"/>
      <c r="T1210" s="470" t="str">
        <f t="shared" si="1454"/>
        <v/>
      </c>
      <c r="V1210" s="549"/>
      <c r="W1210" s="471">
        <f t="shared" ref="W1210:X1210" si="1468">W1209</f>
        <v>47</v>
      </c>
      <c r="X1210" s="471" t="e">
        <f t="shared" si="1468"/>
        <v>#REF!</v>
      </c>
      <c r="Y1210" s="471" t="e">
        <f t="shared" si="1456"/>
        <v>#REF!</v>
      </c>
      <c r="Z1210" s="471"/>
      <c r="AA1210" s="471"/>
      <c r="AB1210" s="435"/>
    </row>
    <row r="1211" spans="1:28" s="470" customFormat="1" ht="15.75" customHeight="1" x14ac:dyDescent="0.15">
      <c r="B1211" s="95"/>
      <c r="C1211" s="140"/>
      <c r="D1211" s="95"/>
      <c r="E1211" s="141"/>
      <c r="F1211" s="94"/>
      <c r="G1211" s="505"/>
      <c r="H1211" s="463" t="str">
        <f>CONCATENATE(C1211,E1211,F1211)</f>
        <v/>
      </c>
      <c r="I1211" s="451"/>
      <c r="J1211" s="506"/>
      <c r="K1211" s="507"/>
      <c r="L1211" s="506"/>
      <c r="M1211" s="507"/>
      <c r="N1211" s="507"/>
      <c r="O1211" s="507"/>
      <c r="P1211" s="508"/>
      <c r="Q1211" s="512"/>
      <c r="R1211" s="513"/>
      <c r="S1211" s="131"/>
      <c r="T1211" s="470" t="str">
        <f t="shared" si="1454"/>
        <v/>
      </c>
      <c r="V1211" s="549"/>
      <c r="W1211" s="471">
        <f t="shared" ref="W1211:X1211" si="1469">W1210</f>
        <v>47</v>
      </c>
      <c r="X1211" s="471" t="e">
        <f t="shared" si="1469"/>
        <v>#REF!</v>
      </c>
      <c r="Y1211" s="471" t="e">
        <f t="shared" si="1456"/>
        <v>#REF!</v>
      </c>
      <c r="Z1211" s="471"/>
      <c r="AA1211" s="471"/>
      <c r="AB1211" s="435"/>
    </row>
    <row r="1212" spans="1:28" s="470" customFormat="1" ht="15.75" customHeight="1" x14ac:dyDescent="0.15">
      <c r="B1212" s="95"/>
      <c r="C1212" s="140"/>
      <c r="D1212" s="95"/>
      <c r="E1212" s="141"/>
      <c r="F1212" s="94"/>
      <c r="G1212" s="505"/>
      <c r="H1212" s="463" t="str">
        <f>CONCATENATE(C1212,E1212,F1212)</f>
        <v/>
      </c>
      <c r="I1212" s="451"/>
      <c r="J1212" s="506"/>
      <c r="K1212" s="507"/>
      <c r="L1212" s="506"/>
      <c r="M1212" s="507"/>
      <c r="N1212" s="507"/>
      <c r="O1212" s="507"/>
      <c r="P1212" s="508"/>
      <c r="Q1212" s="512"/>
      <c r="R1212" s="513"/>
      <c r="S1212" s="131"/>
      <c r="T1212" s="470" t="str">
        <f t="shared" si="1454"/>
        <v/>
      </c>
      <c r="V1212" s="549"/>
      <c r="W1212" s="471">
        <f t="shared" ref="W1212:X1212" si="1470">W1211</f>
        <v>47</v>
      </c>
      <c r="X1212" s="471" t="e">
        <f t="shared" si="1470"/>
        <v>#REF!</v>
      </c>
      <c r="Y1212" s="471" t="e">
        <f t="shared" si="1456"/>
        <v>#REF!</v>
      </c>
      <c r="Z1212" s="471"/>
      <c r="AA1212" s="471"/>
      <c r="AB1212" s="435"/>
    </row>
    <row r="1213" spans="1:28" s="470" customFormat="1" ht="15.75" customHeight="1" x14ac:dyDescent="0.15">
      <c r="B1213" s="95"/>
      <c r="C1213" s="140" t="s">
        <v>956</v>
      </c>
      <c r="D1213" s="95"/>
      <c r="E1213" s="141"/>
      <c r="F1213" s="96"/>
      <c r="G1213" s="505"/>
      <c r="H1213" s="463" t="str">
        <f>CONCATENATE(C1213,E1213,F1213)</f>
        <v>※ 유리 규격별 노임 계상 기준</v>
      </c>
      <c r="I1213" s="451"/>
      <c r="J1213" s="506"/>
      <c r="K1213" s="507"/>
      <c r="L1213" s="506"/>
      <c r="M1213" s="507"/>
      <c r="N1213" s="507"/>
      <c r="O1213" s="507"/>
      <c r="P1213" s="508"/>
      <c r="Q1213" s="512"/>
      <c r="R1213" s="534"/>
      <c r="S1213" s="131"/>
      <c r="T1213" s="470" t="str">
        <f t="shared" si="1454"/>
        <v/>
      </c>
      <c r="V1213" s="549"/>
      <c r="W1213" s="471">
        <f t="shared" ref="W1213:X1213" si="1471">W1212</f>
        <v>47</v>
      </c>
      <c r="X1213" s="471" t="e">
        <f t="shared" si="1471"/>
        <v>#REF!</v>
      </c>
      <c r="Y1213" s="471" t="e">
        <f t="shared" si="1456"/>
        <v>#REF!</v>
      </c>
      <c r="Z1213" s="471"/>
      <c r="AA1213" s="471"/>
      <c r="AB1213" s="167"/>
    </row>
    <row r="1214" spans="1:28" s="470" customFormat="1" ht="15.75" customHeight="1" x14ac:dyDescent="0.15">
      <c r="B1214" s="95"/>
      <c r="C1214" s="140" t="s">
        <v>952</v>
      </c>
      <c r="D1214" s="95"/>
      <c r="E1214" s="141" t="s">
        <v>955</v>
      </c>
      <c r="F1214" s="207" t="s">
        <v>750</v>
      </c>
      <c r="G1214" s="505">
        <v>0.08</v>
      </c>
      <c r="H1214" s="463" t="str">
        <f>CONCATENATE(C1214,E1214,F1214)</f>
        <v>유리 3T이하유리공인</v>
      </c>
      <c r="I1214" s="451"/>
      <c r="J1214" s="506"/>
      <c r="K1214" s="507"/>
      <c r="L1214" s="506"/>
      <c r="M1214" s="507"/>
      <c r="N1214" s="507"/>
      <c r="O1214" s="507"/>
      <c r="P1214" s="508"/>
      <c r="Q1214" s="512"/>
      <c r="R1214" s="534"/>
      <c r="S1214" s="131"/>
      <c r="T1214" s="470" t="str">
        <f t="shared" si="1454"/>
        <v/>
      </c>
      <c r="V1214" s="549"/>
      <c r="W1214" s="471">
        <f t="shared" ref="W1214:X1214" si="1472">W1213</f>
        <v>47</v>
      </c>
      <c r="X1214" s="471" t="e">
        <f t="shared" si="1472"/>
        <v>#REF!</v>
      </c>
      <c r="Y1214" s="471" t="e">
        <f t="shared" si="1456"/>
        <v>#REF!</v>
      </c>
      <c r="Z1214" s="471"/>
      <c r="AA1214" s="471"/>
      <c r="AB1214" s="167"/>
    </row>
    <row r="1215" spans="1:28" s="470" customFormat="1" ht="15.75" customHeight="1" x14ac:dyDescent="0.15">
      <c r="B1215" s="95"/>
      <c r="C1215" s="140" t="s">
        <v>953</v>
      </c>
      <c r="D1215" s="95"/>
      <c r="E1215" s="141" t="s">
        <v>955</v>
      </c>
      <c r="F1215" s="207" t="s">
        <v>750</v>
      </c>
      <c r="G1215" s="505">
        <v>9.1999999999999998E-2</v>
      </c>
      <c r="H1215" s="463"/>
      <c r="I1215" s="463"/>
      <c r="J1215" s="505"/>
      <c r="K1215" s="505"/>
      <c r="L1215" s="505"/>
      <c r="M1215" s="505"/>
      <c r="N1215" s="507"/>
      <c r="O1215" s="507"/>
      <c r="P1215" s="508"/>
      <c r="Q1215" s="512"/>
      <c r="R1215" s="534"/>
      <c r="S1215" s="131"/>
      <c r="T1215" s="470" t="str">
        <f t="shared" si="1454"/>
        <v/>
      </c>
      <c r="V1215" s="549"/>
      <c r="W1215" s="471">
        <f t="shared" ref="W1215:X1215" si="1473">W1214</f>
        <v>47</v>
      </c>
      <c r="X1215" s="471" t="e">
        <f t="shared" si="1473"/>
        <v>#REF!</v>
      </c>
      <c r="Y1215" s="471" t="e">
        <f t="shared" si="1456"/>
        <v>#REF!</v>
      </c>
      <c r="Z1215" s="471"/>
      <c r="AA1215" s="471"/>
      <c r="AB1215" s="167"/>
    </row>
    <row r="1216" spans="1:28" s="470" customFormat="1" ht="15.75" customHeight="1" x14ac:dyDescent="0.15">
      <c r="B1216" s="95"/>
      <c r="C1216" s="140" t="s">
        <v>1039</v>
      </c>
      <c r="D1216" s="95"/>
      <c r="E1216" s="141" t="s">
        <v>955</v>
      </c>
      <c r="F1216" s="207" t="s">
        <v>750</v>
      </c>
      <c r="G1216" s="505">
        <v>0.106</v>
      </c>
      <c r="H1216" s="463" t="str">
        <f t="shared" ref="H1216:H1223" si="1474">CONCATENATE(C1216,E1216,F1216)</f>
        <v>유리 10T미만유리공인</v>
      </c>
      <c r="I1216" s="451"/>
      <c r="J1216" s="506"/>
      <c r="K1216" s="507"/>
      <c r="L1216" s="506"/>
      <c r="M1216" s="507"/>
      <c r="N1216" s="507"/>
      <c r="O1216" s="507"/>
      <c r="P1216" s="508"/>
      <c r="Q1216" s="512"/>
      <c r="R1216" s="513"/>
      <c r="S1216" s="131"/>
      <c r="T1216" s="470" t="str">
        <f t="shared" si="1454"/>
        <v/>
      </c>
      <c r="V1216" s="549"/>
      <c r="W1216" s="471">
        <f t="shared" ref="W1216:X1216" si="1475">W1215</f>
        <v>47</v>
      </c>
      <c r="X1216" s="471" t="e">
        <f t="shared" si="1475"/>
        <v>#REF!</v>
      </c>
      <c r="Y1216" s="471" t="e">
        <f t="shared" si="1456"/>
        <v>#REF!</v>
      </c>
      <c r="Z1216" s="471"/>
      <c r="AA1216" s="471"/>
      <c r="AB1216" s="167"/>
    </row>
    <row r="1217" spans="1:40" s="470" customFormat="1" ht="15.75" customHeight="1" x14ac:dyDescent="0.15">
      <c r="B1217" s="95"/>
      <c r="C1217" s="140" t="s">
        <v>954</v>
      </c>
      <c r="D1217" s="95"/>
      <c r="E1217" s="141" t="s">
        <v>955</v>
      </c>
      <c r="F1217" s="207" t="s">
        <v>750</v>
      </c>
      <c r="G1217" s="505">
        <v>0.13600000000000001</v>
      </c>
      <c r="H1217" s="463" t="str">
        <f t="shared" si="1474"/>
        <v>유리 10T이상유리공인</v>
      </c>
      <c r="I1217" s="451"/>
      <c r="J1217" s="506"/>
      <c r="K1217" s="507"/>
      <c r="L1217" s="506"/>
      <c r="M1217" s="507"/>
      <c r="N1217" s="507"/>
      <c r="O1217" s="507"/>
      <c r="P1217" s="508"/>
      <c r="Q1217" s="512"/>
      <c r="R1217" s="534"/>
      <c r="S1217" s="131"/>
      <c r="T1217" s="470" t="str">
        <f t="shared" si="1454"/>
        <v/>
      </c>
      <c r="V1217" s="549"/>
      <c r="W1217" s="471">
        <f t="shared" ref="W1217:X1217" si="1476">W1216</f>
        <v>47</v>
      </c>
      <c r="X1217" s="471" t="e">
        <f t="shared" si="1476"/>
        <v>#REF!</v>
      </c>
      <c r="Y1217" s="471" t="e">
        <f t="shared" si="1456"/>
        <v>#REF!</v>
      </c>
      <c r="Z1217" s="471"/>
      <c r="AA1217" s="471"/>
      <c r="AB1217" s="167"/>
    </row>
    <row r="1218" spans="1:40" s="470" customFormat="1" ht="15.75" customHeight="1" x14ac:dyDescent="0.15">
      <c r="B1218" s="95"/>
      <c r="C1218" s="140"/>
      <c r="D1218" s="95"/>
      <c r="E1218" s="141"/>
      <c r="F1218" s="94"/>
      <c r="G1218" s="505"/>
      <c r="H1218" s="463" t="str">
        <f t="shared" si="1474"/>
        <v/>
      </c>
      <c r="I1218" s="451"/>
      <c r="J1218" s="506"/>
      <c r="K1218" s="507"/>
      <c r="L1218" s="506"/>
      <c r="M1218" s="507"/>
      <c r="N1218" s="507"/>
      <c r="O1218" s="507"/>
      <c r="P1218" s="508"/>
      <c r="Q1218" s="512"/>
      <c r="R1218" s="534"/>
      <c r="S1218" s="131"/>
      <c r="T1218" s="470" t="str">
        <f t="shared" si="1454"/>
        <v/>
      </c>
      <c r="V1218" s="549"/>
      <c r="W1218" s="471">
        <f t="shared" ref="W1218:X1218" si="1477">W1217</f>
        <v>47</v>
      </c>
      <c r="X1218" s="471" t="e">
        <f t="shared" si="1477"/>
        <v>#REF!</v>
      </c>
      <c r="Y1218" s="471" t="e">
        <f t="shared" si="1456"/>
        <v>#REF!</v>
      </c>
      <c r="Z1218" s="471"/>
      <c r="AA1218" s="471"/>
      <c r="AB1218" s="435"/>
    </row>
    <row r="1219" spans="1:40" s="470" customFormat="1" ht="15.75" customHeight="1" x14ac:dyDescent="0.15">
      <c r="B1219" s="95"/>
      <c r="C1219" s="140"/>
      <c r="D1219" s="95"/>
      <c r="E1219" s="141"/>
      <c r="F1219" s="94"/>
      <c r="G1219" s="505"/>
      <c r="H1219" s="463" t="str">
        <f t="shared" si="1474"/>
        <v/>
      </c>
      <c r="I1219" s="451"/>
      <c r="J1219" s="506"/>
      <c r="K1219" s="507"/>
      <c r="L1219" s="506"/>
      <c r="M1219" s="507"/>
      <c r="N1219" s="507"/>
      <c r="O1219" s="507"/>
      <c r="P1219" s="508"/>
      <c r="Q1219" s="512"/>
      <c r="R1219" s="513"/>
      <c r="S1219" s="131"/>
      <c r="T1219" s="470" t="str">
        <f t="shared" si="1454"/>
        <v/>
      </c>
      <c r="V1219" s="549"/>
      <c r="W1219" s="471">
        <f t="shared" ref="W1219:X1219" si="1478">W1218</f>
        <v>47</v>
      </c>
      <c r="X1219" s="471" t="e">
        <f t="shared" si="1478"/>
        <v>#REF!</v>
      </c>
      <c r="Y1219" s="471" t="e">
        <f t="shared" si="1456"/>
        <v>#REF!</v>
      </c>
      <c r="Z1219" s="471"/>
      <c r="AA1219" s="471"/>
      <c r="AB1219" s="435"/>
    </row>
    <row r="1220" spans="1:40" s="470" customFormat="1" ht="15.75" customHeight="1" x14ac:dyDescent="0.15">
      <c r="B1220" s="514" t="s">
        <v>763</v>
      </c>
      <c r="C1220" s="515"/>
      <c r="D1220" s="516"/>
      <c r="E1220" s="517"/>
      <c r="F1220" s="518"/>
      <c r="G1220" s="519"/>
      <c r="H1220" s="463" t="str">
        <f t="shared" si="1474"/>
        <v/>
      </c>
      <c r="I1220" s="520">
        <f>목록!$B$53</f>
        <v>47</v>
      </c>
      <c r="J1220" s="521"/>
      <c r="K1220" s="522">
        <f>SUM(K1206:K1219)</f>
        <v>1500</v>
      </c>
      <c r="L1220" s="521"/>
      <c r="M1220" s="522">
        <f>SUM(M1206:M1219)</f>
        <v>15742</v>
      </c>
      <c r="N1220" s="521"/>
      <c r="O1220" s="522">
        <f>SUM(O1206:O1219)</f>
        <v>0</v>
      </c>
      <c r="P1220" s="523"/>
      <c r="Q1220" s="512"/>
      <c r="R1220" s="513"/>
      <c r="S1220" s="524"/>
      <c r="T1220" s="470" t="str">
        <f t="shared" si="1454"/>
        <v/>
      </c>
      <c r="V1220" s="549"/>
      <c r="W1220" s="471">
        <f t="shared" ref="W1220:X1220" si="1479">W1219</f>
        <v>47</v>
      </c>
      <c r="X1220" s="471" t="e">
        <f t="shared" si="1479"/>
        <v>#REF!</v>
      </c>
      <c r="Y1220" s="471" t="e">
        <f t="shared" si="1456"/>
        <v>#REF!</v>
      </c>
      <c r="Z1220" s="471"/>
      <c r="AA1220" s="471"/>
      <c r="AB1220" s="435"/>
    </row>
    <row r="1221" spans="1:40" s="470" customFormat="1" ht="15.75" customHeight="1" x14ac:dyDescent="0.15">
      <c r="B1221" s="453"/>
      <c r="C1221" s="209" t="s">
        <v>948</v>
      </c>
      <c r="D1221" s="95"/>
      <c r="E1221" s="141"/>
      <c r="F1221" s="94"/>
      <c r="G1221" s="505"/>
      <c r="H1221" s="463" t="str">
        <f t="shared" si="1474"/>
        <v>※ 건축표준품셈 16-5-1 판유리끼우기</v>
      </c>
      <c r="I1221" s="451"/>
      <c r="J1221" s="506"/>
      <c r="K1221" s="507"/>
      <c r="L1221" s="506"/>
      <c r="M1221" s="507"/>
      <c r="N1221" s="507"/>
      <c r="O1221" s="507"/>
      <c r="P1221" s="508"/>
      <c r="Q1221" s="512"/>
      <c r="R1221" s="513"/>
      <c r="S1221" s="131"/>
      <c r="T1221" s="470" t="str">
        <f t="shared" si="1454"/>
        <v/>
      </c>
      <c r="V1221" s="549"/>
      <c r="W1221" s="615">
        <f t="shared" ref="W1221:X1221" si="1480">W1220</f>
        <v>47</v>
      </c>
      <c r="X1221" s="471" t="e">
        <f t="shared" si="1480"/>
        <v>#REF!</v>
      </c>
      <c r="Y1221" s="471" t="e">
        <f t="shared" si="1456"/>
        <v>#REF!</v>
      </c>
      <c r="Z1221" s="471"/>
      <c r="AA1221" s="471"/>
      <c r="AB1221" s="435"/>
    </row>
    <row r="1222" spans="1:40" s="470" customFormat="1" ht="15.75" customHeight="1" x14ac:dyDescent="0.15">
      <c r="A1222" s="457"/>
      <c r="B1222" s="453"/>
      <c r="C1222" s="209"/>
      <c r="D1222" s="95"/>
      <c r="E1222" s="141"/>
      <c r="F1222" s="94"/>
      <c r="G1222" s="505"/>
      <c r="H1222" s="463" t="str">
        <f t="shared" si="1474"/>
        <v/>
      </c>
      <c r="I1222" s="451"/>
      <c r="J1222" s="506"/>
      <c r="K1222" s="507"/>
      <c r="L1222" s="506"/>
      <c r="M1222" s="507"/>
      <c r="N1222" s="507"/>
      <c r="O1222" s="507"/>
      <c r="P1222" s="508"/>
      <c r="Q1222" s="512"/>
      <c r="R1222" s="513"/>
      <c r="S1222" s="131"/>
      <c r="T1222" s="470" t="str">
        <f t="shared" si="1454"/>
        <v/>
      </c>
      <c r="V1222" s="551"/>
      <c r="W1222" s="471">
        <f t="shared" ref="W1222:X1222" si="1481">W1221</f>
        <v>47</v>
      </c>
      <c r="X1222" s="471" t="e">
        <f t="shared" si="1481"/>
        <v>#REF!</v>
      </c>
      <c r="Y1222" s="471" t="e">
        <f t="shared" si="1456"/>
        <v>#REF!</v>
      </c>
      <c r="Z1222" s="471"/>
      <c r="AA1222" s="471"/>
      <c r="AB1222" s="435"/>
    </row>
    <row r="1223" spans="1:40" s="470" customFormat="1" ht="15.75" customHeight="1" x14ac:dyDescent="0.15">
      <c r="B1223" s="514"/>
      <c r="C1223" s="209"/>
      <c r="D1223" s="516"/>
      <c r="E1223" s="517"/>
      <c r="F1223" s="518"/>
      <c r="G1223" s="519"/>
      <c r="H1223" s="463" t="str">
        <f t="shared" si="1474"/>
        <v/>
      </c>
      <c r="I1223" s="520"/>
      <c r="J1223" s="521"/>
      <c r="K1223" s="522"/>
      <c r="L1223" s="521"/>
      <c r="M1223" s="522"/>
      <c r="N1223" s="521"/>
      <c r="O1223" s="522"/>
      <c r="P1223" s="523"/>
      <c r="Q1223" s="512"/>
      <c r="R1223" s="513"/>
      <c r="S1223" s="524"/>
      <c r="T1223" s="470" t="str">
        <f t="shared" si="1454"/>
        <v/>
      </c>
      <c r="U1223" s="457"/>
      <c r="W1223" s="471">
        <f t="shared" ref="W1223:X1223" si="1482">W1222</f>
        <v>47</v>
      </c>
      <c r="X1223" s="471" t="e">
        <f t="shared" si="1482"/>
        <v>#REF!</v>
      </c>
      <c r="Y1223" s="471" t="e">
        <f t="shared" si="1456"/>
        <v>#REF!</v>
      </c>
      <c r="Z1223" s="471"/>
      <c r="AA1223" s="471"/>
      <c r="AB1223" s="435"/>
      <c r="AC1223" s="457"/>
      <c r="AD1223" s="457"/>
      <c r="AE1223" s="457"/>
      <c r="AF1223" s="457"/>
      <c r="AG1223" s="457"/>
      <c r="AH1223" s="457"/>
      <c r="AI1223" s="457"/>
      <c r="AJ1223" s="457"/>
      <c r="AK1223" s="457"/>
      <c r="AL1223" s="457"/>
      <c r="AM1223" s="457"/>
      <c r="AN1223" s="457"/>
    </row>
    <row r="1224" spans="1:40" s="457" customFormat="1" ht="15.75" customHeight="1" x14ac:dyDescent="0.15">
      <c r="A1224" s="470"/>
      <c r="C1224" s="458"/>
      <c r="D1224" s="459"/>
      <c r="E1224" s="460"/>
      <c r="F1224" s="461"/>
      <c r="G1224" s="553"/>
      <c r="H1224" s="463" t="str">
        <f t="shared" ref="H1224:H1301" si="1483">CONCATENATE(C1224,E1224,F1224)</f>
        <v/>
      </c>
      <c r="I1224" s="464"/>
      <c r="J1224" s="465"/>
      <c r="K1224" s="465"/>
      <c r="L1224" s="465"/>
      <c r="M1224" s="465"/>
      <c r="N1224" s="465"/>
      <c r="O1224" s="466"/>
      <c r="P1224" s="467"/>
      <c r="Q1224" s="468"/>
      <c r="R1224" s="469"/>
      <c r="S1224" s="467"/>
      <c r="T1224" s="470" t="str">
        <f t="shared" ref="T1224:T1301" si="1484">CONCATENATE(Q1224,R1224)</f>
        <v/>
      </c>
      <c r="U1224" s="470"/>
      <c r="V1224" s="470"/>
      <c r="W1224" s="533">
        <f t="shared" ref="W1224" si="1485">I1246</f>
        <v>48</v>
      </c>
      <c r="X1224" s="533" t="e">
        <f>#REF!+1</f>
        <v>#REF!</v>
      </c>
      <c r="Y1224" s="533" t="e">
        <f t="shared" ref="Y1224:Y1301" si="1486">X1224-W1224</f>
        <v>#REF!</v>
      </c>
      <c r="Z1224" s="533"/>
      <c r="AA1224" s="533"/>
      <c r="AB1224" s="435"/>
      <c r="AC1224" s="470"/>
      <c r="AD1224" s="470"/>
      <c r="AE1224" s="470"/>
      <c r="AF1224" s="470"/>
      <c r="AG1224" s="470"/>
      <c r="AH1224" s="470"/>
      <c r="AI1224" s="470"/>
      <c r="AJ1224" s="470"/>
      <c r="AK1224" s="470"/>
      <c r="AL1224" s="470"/>
      <c r="AM1224" s="470"/>
      <c r="AN1224" s="470"/>
    </row>
    <row r="1225" spans="1:40" s="470" customFormat="1" ht="15.75" customHeight="1" x14ac:dyDescent="0.15">
      <c r="A1225" s="457"/>
      <c r="B1225" s="473"/>
      <c r="C1225" s="474" t="str">
        <f>"   항목번호 : "&amp;목록!L$54</f>
        <v xml:space="preserve">   항목번호 : 제48호표</v>
      </c>
      <c r="D1225" s="475">
        <f>목록!B$54</f>
        <v>48</v>
      </c>
      <c r="E1225" s="476"/>
      <c r="F1225" s="477"/>
      <c r="G1225" s="554"/>
      <c r="H1225" s="463" t="str">
        <f t="shared" si="1483"/>
        <v xml:space="preserve">   항목번호 : 제48호표</v>
      </c>
      <c r="I1225" s="479"/>
      <c r="J1225" s="480"/>
      <c r="K1225" s="481"/>
      <c r="L1225" s="482"/>
      <c r="M1225" s="482"/>
      <c r="N1225" s="482"/>
      <c r="O1225" s="466"/>
      <c r="P1225" s="483"/>
      <c r="Q1225" s="484"/>
      <c r="R1225" s="485"/>
      <c r="S1225" s="483"/>
      <c r="T1225" s="470" t="str">
        <f t="shared" si="1484"/>
        <v/>
      </c>
      <c r="V1225" s="551"/>
      <c r="W1225" s="471">
        <f t="shared" ref="W1225:X1225" si="1487">W1224</f>
        <v>48</v>
      </c>
      <c r="X1225" s="471" t="e">
        <f t="shared" si="1487"/>
        <v>#REF!</v>
      </c>
      <c r="Y1225" s="471" t="e">
        <f t="shared" si="1486"/>
        <v>#REF!</v>
      </c>
      <c r="Z1225" s="471"/>
      <c r="AA1225" s="471"/>
      <c r="AB1225" s="435"/>
    </row>
    <row r="1226" spans="1:40" s="470" customFormat="1" ht="15.75" customHeight="1" x14ac:dyDescent="0.15">
      <c r="A1226" s="457"/>
      <c r="B1226" s="473"/>
      <c r="C1226" s="474" t="str">
        <f>"   공      종 : "&amp;목록!D$54</f>
        <v xml:space="preserve">   공      종 : 강화유리</v>
      </c>
      <c r="D1226" s="484"/>
      <c r="E1226" s="476"/>
      <c r="F1226" s="473"/>
      <c r="G1226" s="554"/>
      <c r="H1226" s="463" t="str">
        <f t="shared" si="1483"/>
        <v xml:space="preserve">   공      종 : 강화유리</v>
      </c>
      <c r="I1226" s="479"/>
      <c r="J1226" s="480"/>
      <c r="K1226" s="481"/>
      <c r="L1226" s="482"/>
      <c r="M1226" s="482"/>
      <c r="N1226" s="482"/>
      <c r="O1226" s="466"/>
      <c r="P1226" s="483"/>
      <c r="Q1226" s="484"/>
      <c r="R1226" s="485"/>
      <c r="S1226" s="483"/>
      <c r="T1226" s="470" t="str">
        <f t="shared" si="1484"/>
        <v/>
      </c>
      <c r="U1226" s="457"/>
      <c r="W1226" s="471">
        <f t="shared" ref="W1226:X1226" si="1488">W1225</f>
        <v>48</v>
      </c>
      <c r="X1226" s="471" t="e">
        <f t="shared" si="1488"/>
        <v>#REF!</v>
      </c>
      <c r="Y1226" s="471" t="e">
        <f t="shared" si="1486"/>
        <v>#REF!</v>
      </c>
      <c r="Z1226" s="471"/>
      <c r="AA1226" s="471"/>
      <c r="AB1226" s="435"/>
      <c r="AC1226" s="457"/>
      <c r="AD1226" s="457"/>
      <c r="AE1226" s="457"/>
      <c r="AF1226" s="457"/>
      <c r="AG1226" s="457"/>
      <c r="AH1226" s="457"/>
      <c r="AI1226" s="457"/>
      <c r="AJ1226" s="457"/>
      <c r="AK1226" s="457"/>
      <c r="AL1226" s="457"/>
      <c r="AM1226" s="457"/>
      <c r="AN1226" s="457"/>
    </row>
    <row r="1227" spans="1:40" s="457" customFormat="1" ht="15.75" customHeight="1" x14ac:dyDescent="0.15">
      <c r="B1227" s="473"/>
      <c r="C1227" s="474" t="str">
        <f xml:space="preserve"> "   규      격 : "&amp;목록!F$54</f>
        <v xml:space="preserve">   규      격 : THK=8mm</v>
      </c>
      <c r="D1227" s="484"/>
      <c r="E1227" s="476"/>
      <c r="F1227" s="473"/>
      <c r="G1227" s="554"/>
      <c r="H1227" s="463" t="str">
        <f t="shared" si="1483"/>
        <v xml:space="preserve">   규      격 : THK=8mm</v>
      </c>
      <c r="I1227" s="479"/>
      <c r="J1227" s="480" t="s">
        <v>348</v>
      </c>
      <c r="K1227" s="481"/>
      <c r="L1227" s="482" t="s">
        <v>349</v>
      </c>
      <c r="M1227" s="482"/>
      <c r="N1227" s="482" t="s">
        <v>240</v>
      </c>
      <c r="O1227" s="466"/>
      <c r="P1227" s="483"/>
      <c r="Q1227" s="484" t="s">
        <v>764</v>
      </c>
      <c r="R1227" s="484"/>
      <c r="S1227" s="483"/>
      <c r="T1227" s="470" t="str">
        <f t="shared" si="1484"/>
        <v>합계</v>
      </c>
      <c r="V1227" s="547"/>
      <c r="W1227" s="471">
        <f t="shared" ref="W1227:X1227" si="1489">W1226</f>
        <v>48</v>
      </c>
      <c r="X1227" s="471" t="e">
        <f t="shared" si="1489"/>
        <v>#REF!</v>
      </c>
      <c r="Y1227" s="471" t="e">
        <f t="shared" si="1486"/>
        <v>#REF!</v>
      </c>
      <c r="Z1227" s="471"/>
      <c r="AA1227" s="471"/>
      <c r="AB1227" s="435"/>
    </row>
    <row r="1228" spans="1:40" s="457" customFormat="1" ht="15.75" customHeight="1" x14ac:dyDescent="0.15">
      <c r="B1228" s="473"/>
      <c r="C1228" s="474" t="str">
        <f>"   단      위 : "&amp;목록!G$54</f>
        <v xml:space="preserve">   단      위 : ㎡</v>
      </c>
      <c r="D1228" s="484"/>
      <c r="E1228" s="476"/>
      <c r="F1228" s="473"/>
      <c r="G1228" s="554"/>
      <c r="H1228" s="463" t="str">
        <f t="shared" si="1483"/>
        <v xml:space="preserve">   단      위 : ㎡</v>
      </c>
      <c r="I1228" s="479"/>
      <c r="J1228" s="486">
        <f>K1246</f>
        <v>26447</v>
      </c>
      <c r="K1228" s="481"/>
      <c r="L1228" s="487">
        <f>M1246</f>
        <v>15742</v>
      </c>
      <c r="M1228" s="482"/>
      <c r="N1228" s="482">
        <f>O1246</f>
        <v>0</v>
      </c>
      <c r="O1228" s="466"/>
      <c r="P1228" s="483"/>
      <c r="Q1228" s="488">
        <f>J1228+L1228+N1228</f>
        <v>42189</v>
      </c>
      <c r="R1228" s="489"/>
      <c r="S1228" s="483"/>
      <c r="T1228" s="470" t="str">
        <f t="shared" si="1484"/>
        <v>42189</v>
      </c>
      <c r="V1228" s="547"/>
      <c r="W1228" s="471">
        <f t="shared" ref="W1228:X1228" si="1490">W1227</f>
        <v>48</v>
      </c>
      <c r="X1228" s="471" t="e">
        <f t="shared" si="1490"/>
        <v>#REF!</v>
      </c>
      <c r="Y1228" s="471" t="e">
        <f t="shared" si="1486"/>
        <v>#REF!</v>
      </c>
      <c r="Z1228" s="471"/>
      <c r="AA1228" s="471"/>
      <c r="AB1228" s="435"/>
    </row>
    <row r="1229" spans="1:40" s="457" customFormat="1" ht="15.75" customHeight="1" x14ac:dyDescent="0.15">
      <c r="B1229" s="473"/>
      <c r="C1229" s="474"/>
      <c r="D1229" s="484"/>
      <c r="E1229" s="476"/>
      <c r="F1229" s="473"/>
      <c r="G1229" s="555"/>
      <c r="H1229" s="463" t="str">
        <f t="shared" si="1483"/>
        <v/>
      </c>
      <c r="I1229" s="491"/>
      <c r="J1229" s="482"/>
      <c r="K1229" s="465"/>
      <c r="L1229" s="482"/>
      <c r="M1229" s="482"/>
      <c r="N1229" s="482"/>
      <c r="O1229" s="466"/>
      <c r="P1229" s="492"/>
      <c r="Q1229" s="493"/>
      <c r="R1229" s="485"/>
      <c r="S1229" s="492"/>
      <c r="T1229" s="470" t="str">
        <f t="shared" si="1484"/>
        <v/>
      </c>
      <c r="V1229" s="547"/>
      <c r="W1229" s="471">
        <f t="shared" ref="W1229:X1229" si="1491">W1228</f>
        <v>48</v>
      </c>
      <c r="X1229" s="471" t="e">
        <f t="shared" si="1491"/>
        <v>#REF!</v>
      </c>
      <c r="Y1229" s="471" t="e">
        <f t="shared" si="1486"/>
        <v>#REF!</v>
      </c>
      <c r="Z1229" s="471"/>
      <c r="AA1229" s="471"/>
      <c r="AB1229" s="435"/>
    </row>
    <row r="1230" spans="1:40" s="457" customFormat="1" ht="15.75" customHeight="1" x14ac:dyDescent="0.15">
      <c r="B1230" s="899" t="s">
        <v>375</v>
      </c>
      <c r="C1230" s="900"/>
      <c r="D1230" s="907" t="s">
        <v>356</v>
      </c>
      <c r="E1230" s="908"/>
      <c r="F1230" s="903" t="s">
        <v>788</v>
      </c>
      <c r="G1230" s="911" t="s">
        <v>789</v>
      </c>
      <c r="H1230" s="463" t="str">
        <f t="shared" si="1483"/>
        <v>단위</v>
      </c>
      <c r="I1230" s="494"/>
      <c r="J1230" s="495" t="s">
        <v>348</v>
      </c>
      <c r="K1230" s="496"/>
      <c r="L1230" s="495" t="s">
        <v>349</v>
      </c>
      <c r="M1230" s="496"/>
      <c r="N1230" s="497" t="s">
        <v>240</v>
      </c>
      <c r="O1230" s="497"/>
      <c r="P1230" s="498"/>
      <c r="Q1230" s="744" t="s">
        <v>355</v>
      </c>
      <c r="R1230" s="744"/>
      <c r="S1230" s="499"/>
      <c r="T1230" s="470" t="str">
        <f t="shared" si="1484"/>
        <v>비  고</v>
      </c>
      <c r="V1230" s="547"/>
      <c r="W1230" s="471">
        <f t="shared" ref="W1230:X1230" si="1492">W1229</f>
        <v>48</v>
      </c>
      <c r="X1230" s="471" t="e">
        <f t="shared" si="1492"/>
        <v>#REF!</v>
      </c>
      <c r="Y1230" s="471" t="e">
        <f t="shared" si="1486"/>
        <v>#REF!</v>
      </c>
      <c r="Z1230" s="471"/>
      <c r="AA1230" s="471"/>
      <c r="AB1230" s="435"/>
    </row>
    <row r="1231" spans="1:40" s="457" customFormat="1" ht="15.75" customHeight="1" x14ac:dyDescent="0.15">
      <c r="B1231" s="901"/>
      <c r="C1231" s="902"/>
      <c r="D1231" s="909"/>
      <c r="E1231" s="910"/>
      <c r="F1231" s="904"/>
      <c r="G1231" s="912"/>
      <c r="H1231" s="463" t="str">
        <f t="shared" si="1483"/>
        <v/>
      </c>
      <c r="I1231" s="500"/>
      <c r="J1231" s="501" t="s">
        <v>353</v>
      </c>
      <c r="K1231" s="501" t="s">
        <v>354</v>
      </c>
      <c r="L1231" s="501" t="s">
        <v>353</v>
      </c>
      <c r="M1231" s="502" t="s">
        <v>354</v>
      </c>
      <c r="N1231" s="501" t="s">
        <v>353</v>
      </c>
      <c r="O1231" s="501" t="s">
        <v>354</v>
      </c>
      <c r="P1231" s="503"/>
      <c r="Q1231" s="745"/>
      <c r="R1231" s="745"/>
      <c r="S1231" s="504"/>
      <c r="T1231" s="470" t="str">
        <f t="shared" si="1484"/>
        <v/>
      </c>
      <c r="V1231" s="547"/>
      <c r="W1231" s="471">
        <f t="shared" ref="W1231:X1231" si="1493">W1230</f>
        <v>48</v>
      </c>
      <c r="X1231" s="471" t="e">
        <f t="shared" si="1493"/>
        <v>#REF!</v>
      </c>
      <c r="Y1231" s="471" t="e">
        <f t="shared" si="1486"/>
        <v>#REF!</v>
      </c>
      <c r="Z1231" s="471"/>
      <c r="AA1231" s="471"/>
      <c r="AB1231" s="435"/>
    </row>
    <row r="1232" spans="1:40" s="457" customFormat="1" ht="15.75" customHeight="1" x14ac:dyDescent="0.15">
      <c r="A1232" s="547"/>
      <c r="B1232" s="95"/>
      <c r="C1232" s="164" t="s">
        <v>615</v>
      </c>
      <c r="D1232" s="165"/>
      <c r="E1232" s="164" t="s">
        <v>616</v>
      </c>
      <c r="F1232" s="455" t="s">
        <v>350</v>
      </c>
      <c r="G1232" s="556">
        <v>1.01</v>
      </c>
      <c r="H1232" s="463" t="str">
        <f t="shared" si="1483"/>
        <v>강화유리(투명)THK=8mm㎡</v>
      </c>
      <c r="I1232" s="451" t="str">
        <f>CONCATENATE(C1232,E1232,F1232)</f>
        <v>강화유리(투명)THK=8mm㎡</v>
      </c>
      <c r="J1232" s="506">
        <f>IF(OR($F1232="인",$F1232=""),"",VLOOKUP($H1232,단가!$A:$S,19,FALSE))</f>
        <v>24700</v>
      </c>
      <c r="K1232" s="507">
        <f>IF(J1232="","",TRUNC($G1232*J1232,0))</f>
        <v>24947</v>
      </c>
      <c r="L1232" s="506" t="str">
        <f>IF($F1232="인",VLOOKUP($C:$C,노임!$C:$G,4,FALSE),"")</f>
        <v/>
      </c>
      <c r="M1232" s="507" t="str">
        <f>IF(L1232="","",TRUNC($G1232*L1232,0))</f>
        <v/>
      </c>
      <c r="N1232" s="507"/>
      <c r="O1232" s="507" t="str">
        <f>IF(N1232="","",TRUNC($G1232*N1232,0))</f>
        <v/>
      </c>
      <c r="P1232" s="508"/>
      <c r="Q1232" s="509" t="str">
        <f>IF(F1232="인","노임"&amp;VLOOKUP($C:$C,노임!C:G,5,FALSE)&amp;"번","단가"&amp;VLOOKUP($H:$H,단가!$A:$B,2,FALSE)&amp;"번")</f>
        <v>단가27번</v>
      </c>
      <c r="R1232" s="510"/>
      <c r="S1232" s="131"/>
      <c r="T1232" s="470" t="str">
        <f t="shared" si="1484"/>
        <v>단가27번</v>
      </c>
      <c r="V1232" s="548"/>
      <c r="W1232" s="471">
        <f t="shared" ref="W1232:X1232" si="1494">W1231</f>
        <v>48</v>
      </c>
      <c r="X1232" s="471" t="e">
        <f t="shared" si="1494"/>
        <v>#REF!</v>
      </c>
      <c r="Y1232" s="471" t="e">
        <f t="shared" si="1486"/>
        <v>#REF!</v>
      </c>
      <c r="Z1232" s="471"/>
      <c r="AA1232" s="471"/>
      <c r="AB1232" s="435"/>
    </row>
    <row r="1233" spans="1:40" s="457" customFormat="1" ht="15.75" customHeight="1" x14ac:dyDescent="0.15">
      <c r="A1233" s="547"/>
      <c r="B1233" s="95"/>
      <c r="C1233" s="193" t="s">
        <v>614</v>
      </c>
      <c r="D1233" s="205"/>
      <c r="E1233" s="602" t="s">
        <v>1040</v>
      </c>
      <c r="F1233" s="207" t="s">
        <v>350</v>
      </c>
      <c r="G1233" s="505">
        <v>1</v>
      </c>
      <c r="H1233" s="463" t="str">
        <f t="shared" si="1483"/>
        <v>유리끼우기THK=10mm 미만㎡</v>
      </c>
      <c r="I1233" s="451" t="str">
        <f>CONCATENATE(C1233,E1233,F1233)</f>
        <v>유리끼우기THK=10mm 미만㎡</v>
      </c>
      <c r="J1233" s="506">
        <f>VLOOKUP($H1233,목록!$A:$K,8,FALSE)</f>
        <v>1500</v>
      </c>
      <c r="K1233" s="507">
        <f>IF(J1233="","",TRUNC($G1233*J1233,0))</f>
        <v>1500</v>
      </c>
      <c r="L1233" s="506">
        <f>VLOOKUP($H1233,목록!$A:$K,9,FALSE)</f>
        <v>15742</v>
      </c>
      <c r="M1233" s="507">
        <f>IF(L1233="","",TRUNC($G1233*L1233,0))</f>
        <v>15742</v>
      </c>
      <c r="N1233" s="507" t="str">
        <f>VLOOKUP($H1233,목록!$A:$K,10,FALSE)</f>
        <v/>
      </c>
      <c r="O1233" s="507" t="str">
        <f>IF(N1233="","",TRUNC($G1233*N1233,0))</f>
        <v/>
      </c>
      <c r="P1233" s="508"/>
      <c r="Q1233" s="512" t="str">
        <f>"제"&amp;VLOOKUP($H:$H,목록!$A:$B,2,FALSE)&amp;"호표"</f>
        <v>제47호표</v>
      </c>
      <c r="R1233" s="534"/>
      <c r="S1233" s="131"/>
      <c r="T1233" s="470" t="str">
        <f t="shared" si="1484"/>
        <v>제47호표</v>
      </c>
      <c r="V1233" s="548"/>
      <c r="W1233" s="471">
        <f t="shared" ref="W1233:X1233" si="1495">W1232</f>
        <v>48</v>
      </c>
      <c r="X1233" s="471" t="e">
        <f t="shared" si="1495"/>
        <v>#REF!</v>
      </c>
      <c r="Y1233" s="471" t="e">
        <f t="shared" si="1486"/>
        <v>#REF!</v>
      </c>
      <c r="Z1233" s="471"/>
      <c r="AA1233" s="471"/>
      <c r="AB1233" s="435"/>
    </row>
    <row r="1234" spans="1:40" s="457" customFormat="1" ht="15.75" customHeight="1" x14ac:dyDescent="0.15">
      <c r="A1234" s="470"/>
      <c r="B1234" s="95"/>
      <c r="C1234" s="140"/>
      <c r="D1234" s="95"/>
      <c r="E1234" s="141"/>
      <c r="F1234" s="96"/>
      <c r="G1234" s="556"/>
      <c r="H1234" s="463" t="str">
        <f t="shared" si="1483"/>
        <v/>
      </c>
      <c r="I1234" s="451"/>
      <c r="J1234" s="506"/>
      <c r="K1234" s="507"/>
      <c r="L1234" s="506"/>
      <c r="M1234" s="507"/>
      <c r="N1234" s="507"/>
      <c r="O1234" s="507"/>
      <c r="P1234" s="508"/>
      <c r="Q1234" s="512"/>
      <c r="R1234" s="534"/>
      <c r="S1234" s="131"/>
      <c r="T1234" s="470" t="str">
        <f t="shared" si="1484"/>
        <v/>
      </c>
      <c r="V1234" s="549"/>
      <c r="W1234" s="471">
        <f t="shared" ref="W1234:X1234" si="1496">W1233</f>
        <v>48</v>
      </c>
      <c r="X1234" s="471" t="e">
        <f t="shared" si="1496"/>
        <v>#REF!</v>
      </c>
      <c r="Y1234" s="471" t="e">
        <f t="shared" si="1486"/>
        <v>#REF!</v>
      </c>
      <c r="Z1234" s="471"/>
      <c r="AA1234" s="471"/>
      <c r="AB1234" s="435"/>
    </row>
    <row r="1235" spans="1:40" s="457" customFormat="1" ht="15.75" customHeight="1" x14ac:dyDescent="0.15">
      <c r="A1235" s="470"/>
      <c r="B1235" s="95"/>
      <c r="C1235" s="140"/>
      <c r="D1235" s="95"/>
      <c r="E1235" s="141"/>
      <c r="F1235" s="96"/>
      <c r="G1235" s="556"/>
      <c r="H1235" s="463" t="str">
        <f t="shared" si="1483"/>
        <v/>
      </c>
      <c r="I1235" s="451"/>
      <c r="J1235" s="506"/>
      <c r="K1235" s="507"/>
      <c r="L1235" s="506"/>
      <c r="M1235" s="507"/>
      <c r="N1235" s="507"/>
      <c r="O1235" s="507"/>
      <c r="P1235" s="508"/>
      <c r="Q1235" s="512"/>
      <c r="R1235" s="534"/>
      <c r="S1235" s="131"/>
      <c r="T1235" s="470" t="str">
        <f t="shared" si="1484"/>
        <v/>
      </c>
      <c r="U1235" s="470"/>
      <c r="V1235" s="549"/>
      <c r="W1235" s="471">
        <f t="shared" ref="W1235:X1235" si="1497">W1234</f>
        <v>48</v>
      </c>
      <c r="X1235" s="471" t="e">
        <f t="shared" si="1497"/>
        <v>#REF!</v>
      </c>
      <c r="Y1235" s="471" t="e">
        <f t="shared" si="1486"/>
        <v>#REF!</v>
      </c>
      <c r="Z1235" s="471"/>
      <c r="AA1235" s="471"/>
      <c r="AB1235" s="435"/>
      <c r="AC1235" s="470"/>
      <c r="AD1235" s="470"/>
      <c r="AE1235" s="470"/>
      <c r="AF1235" s="470"/>
      <c r="AG1235" s="470"/>
      <c r="AH1235" s="470"/>
      <c r="AI1235" s="470"/>
      <c r="AJ1235" s="470"/>
      <c r="AK1235" s="470"/>
      <c r="AL1235" s="470"/>
      <c r="AM1235" s="470"/>
      <c r="AN1235" s="470"/>
    </row>
    <row r="1236" spans="1:40" s="470" customFormat="1" ht="15.75" customHeight="1" x14ac:dyDescent="0.15">
      <c r="B1236" s="95"/>
      <c r="C1236" s="193"/>
      <c r="D1236" s="205"/>
      <c r="E1236" s="541"/>
      <c r="F1236" s="96"/>
      <c r="G1236" s="556"/>
      <c r="H1236" s="463" t="str">
        <f t="shared" si="1483"/>
        <v/>
      </c>
      <c r="I1236" s="451"/>
      <c r="J1236" s="506"/>
      <c r="K1236" s="507"/>
      <c r="L1236" s="506"/>
      <c r="M1236" s="507"/>
      <c r="N1236" s="507"/>
      <c r="O1236" s="507"/>
      <c r="P1236" s="508"/>
      <c r="Q1236" s="512"/>
      <c r="R1236" s="534"/>
      <c r="S1236" s="131"/>
      <c r="T1236" s="470" t="str">
        <f t="shared" si="1484"/>
        <v/>
      </c>
      <c r="V1236" s="549"/>
      <c r="W1236" s="471">
        <f t="shared" ref="W1236:X1236" si="1498">W1235</f>
        <v>48</v>
      </c>
      <c r="X1236" s="471" t="e">
        <f t="shared" si="1498"/>
        <v>#REF!</v>
      </c>
      <c r="Y1236" s="471" t="e">
        <f t="shared" si="1486"/>
        <v>#REF!</v>
      </c>
      <c r="Z1236" s="471"/>
      <c r="AA1236" s="471"/>
      <c r="AB1236" s="435"/>
    </row>
    <row r="1237" spans="1:40" s="470" customFormat="1" ht="15.75" customHeight="1" x14ac:dyDescent="0.15">
      <c r="B1237" s="95"/>
      <c r="C1237" s="193"/>
      <c r="D1237" s="205"/>
      <c r="E1237" s="206"/>
      <c r="F1237" s="207"/>
      <c r="G1237" s="556"/>
      <c r="H1237" s="463" t="str">
        <f t="shared" si="1483"/>
        <v/>
      </c>
      <c r="I1237" s="451"/>
      <c r="J1237" s="506"/>
      <c r="K1237" s="507"/>
      <c r="L1237" s="506"/>
      <c r="M1237" s="507"/>
      <c r="N1237" s="507"/>
      <c r="O1237" s="507"/>
      <c r="P1237" s="508"/>
      <c r="Q1237" s="512"/>
      <c r="R1237" s="534"/>
      <c r="S1237" s="131"/>
      <c r="T1237" s="470" t="str">
        <f t="shared" si="1484"/>
        <v/>
      </c>
      <c r="V1237" s="549"/>
      <c r="W1237" s="471">
        <f t="shared" ref="W1237:X1237" si="1499">W1236</f>
        <v>48</v>
      </c>
      <c r="X1237" s="471" t="e">
        <f t="shared" si="1499"/>
        <v>#REF!</v>
      </c>
      <c r="Y1237" s="471" t="e">
        <f t="shared" si="1486"/>
        <v>#REF!</v>
      </c>
      <c r="Z1237" s="471"/>
      <c r="AA1237" s="471"/>
      <c r="AB1237" s="435"/>
    </row>
    <row r="1238" spans="1:40" s="470" customFormat="1" ht="15.75" customHeight="1" x14ac:dyDescent="0.15">
      <c r="B1238" s="95"/>
      <c r="C1238" s="140"/>
      <c r="D1238" s="95"/>
      <c r="E1238" s="141"/>
      <c r="F1238" s="94"/>
      <c r="G1238" s="556"/>
      <c r="H1238" s="463" t="str">
        <f t="shared" si="1483"/>
        <v/>
      </c>
      <c r="I1238" s="451"/>
      <c r="J1238" s="506"/>
      <c r="K1238" s="507"/>
      <c r="L1238" s="506"/>
      <c r="M1238" s="507"/>
      <c r="N1238" s="507"/>
      <c r="O1238" s="507"/>
      <c r="P1238" s="508"/>
      <c r="Q1238" s="512"/>
      <c r="R1238" s="534"/>
      <c r="S1238" s="131"/>
      <c r="T1238" s="470" t="str">
        <f t="shared" si="1484"/>
        <v/>
      </c>
      <c r="V1238" s="549"/>
      <c r="W1238" s="471">
        <f t="shared" ref="W1238:X1238" si="1500">W1237</f>
        <v>48</v>
      </c>
      <c r="X1238" s="471" t="e">
        <f t="shared" si="1500"/>
        <v>#REF!</v>
      </c>
      <c r="Y1238" s="471" t="e">
        <f t="shared" si="1486"/>
        <v>#REF!</v>
      </c>
      <c r="Z1238" s="471"/>
      <c r="AA1238" s="471"/>
      <c r="AB1238" s="435"/>
    </row>
    <row r="1239" spans="1:40" s="470" customFormat="1" ht="15.75" customHeight="1" x14ac:dyDescent="0.15">
      <c r="B1239" s="95"/>
      <c r="C1239" s="140"/>
      <c r="D1239" s="95"/>
      <c r="E1239" s="141"/>
      <c r="F1239" s="94"/>
      <c r="G1239" s="556"/>
      <c r="H1239" s="463" t="str">
        <f t="shared" si="1483"/>
        <v/>
      </c>
      <c r="I1239" s="451"/>
      <c r="J1239" s="506"/>
      <c r="K1239" s="507"/>
      <c r="L1239" s="506"/>
      <c r="M1239" s="507"/>
      <c r="N1239" s="507"/>
      <c r="O1239" s="507"/>
      <c r="P1239" s="508"/>
      <c r="Q1239" s="512"/>
      <c r="R1239" s="513"/>
      <c r="S1239" s="131"/>
      <c r="T1239" s="470" t="str">
        <f t="shared" si="1484"/>
        <v/>
      </c>
      <c r="V1239" s="549"/>
      <c r="W1239" s="471">
        <f t="shared" ref="W1239:X1239" si="1501">W1238</f>
        <v>48</v>
      </c>
      <c r="X1239" s="471" t="e">
        <f t="shared" si="1501"/>
        <v>#REF!</v>
      </c>
      <c r="Y1239" s="471" t="e">
        <f t="shared" si="1486"/>
        <v>#REF!</v>
      </c>
      <c r="Z1239" s="471"/>
      <c r="AA1239" s="471"/>
      <c r="AB1239" s="435"/>
    </row>
    <row r="1240" spans="1:40" s="470" customFormat="1" ht="15.75" customHeight="1" x14ac:dyDescent="0.15">
      <c r="B1240" s="95"/>
      <c r="C1240" s="140"/>
      <c r="D1240" s="95"/>
      <c r="E1240" s="141"/>
      <c r="F1240" s="207"/>
      <c r="G1240" s="556"/>
      <c r="H1240" s="463" t="str">
        <f t="shared" si="1483"/>
        <v/>
      </c>
      <c r="I1240" s="451"/>
      <c r="J1240" s="506"/>
      <c r="K1240" s="507"/>
      <c r="L1240" s="506"/>
      <c r="M1240" s="507"/>
      <c r="N1240" s="507"/>
      <c r="O1240" s="507"/>
      <c r="P1240" s="508"/>
      <c r="Q1240" s="512"/>
      <c r="R1240" s="534"/>
      <c r="S1240" s="131"/>
      <c r="T1240" s="470" t="str">
        <f t="shared" si="1484"/>
        <v/>
      </c>
      <c r="V1240" s="549"/>
      <c r="W1240" s="471">
        <f t="shared" ref="W1240:X1240" si="1502">W1239</f>
        <v>48</v>
      </c>
      <c r="X1240" s="471" t="e">
        <f t="shared" si="1502"/>
        <v>#REF!</v>
      </c>
      <c r="Y1240" s="471" t="e">
        <f t="shared" si="1486"/>
        <v>#REF!</v>
      </c>
      <c r="Z1240" s="471"/>
      <c r="AA1240" s="471"/>
      <c r="AB1240" s="435"/>
    </row>
    <row r="1241" spans="1:40" s="470" customFormat="1" ht="15.75" customHeight="1" x14ac:dyDescent="0.15">
      <c r="B1241" s="95"/>
      <c r="C1241" s="140"/>
      <c r="D1241" s="95"/>
      <c r="E1241" s="141"/>
      <c r="F1241" s="207"/>
      <c r="G1241" s="556"/>
      <c r="H1241" s="463" t="str">
        <f t="shared" si="1483"/>
        <v/>
      </c>
      <c r="I1241" s="451"/>
      <c r="J1241" s="506"/>
      <c r="K1241" s="507"/>
      <c r="L1241" s="506"/>
      <c r="M1241" s="507"/>
      <c r="N1241" s="507"/>
      <c r="O1241" s="507"/>
      <c r="P1241" s="508"/>
      <c r="Q1241" s="512"/>
      <c r="R1241" s="534"/>
      <c r="S1241" s="131"/>
      <c r="T1241" s="470" t="str">
        <f t="shared" si="1484"/>
        <v/>
      </c>
      <c r="V1241" s="549"/>
      <c r="W1241" s="471">
        <f t="shared" ref="W1241:X1241" si="1503">W1240</f>
        <v>48</v>
      </c>
      <c r="X1241" s="471" t="e">
        <f t="shared" si="1503"/>
        <v>#REF!</v>
      </c>
      <c r="Y1241" s="471" t="e">
        <f t="shared" si="1486"/>
        <v>#REF!</v>
      </c>
      <c r="Z1241" s="471"/>
      <c r="AA1241" s="471"/>
      <c r="AB1241" s="435"/>
    </row>
    <row r="1242" spans="1:40" s="470" customFormat="1" ht="15.75" customHeight="1" x14ac:dyDescent="0.15">
      <c r="B1242" s="95"/>
      <c r="C1242" s="140"/>
      <c r="D1242" s="95"/>
      <c r="E1242" s="141"/>
      <c r="F1242" s="94"/>
      <c r="G1242" s="556"/>
      <c r="H1242" s="463" t="str">
        <f t="shared" si="1483"/>
        <v/>
      </c>
      <c r="I1242" s="451"/>
      <c r="J1242" s="506"/>
      <c r="K1242" s="507"/>
      <c r="L1242" s="506"/>
      <c r="M1242" s="507"/>
      <c r="N1242" s="507"/>
      <c r="O1242" s="507"/>
      <c r="P1242" s="508"/>
      <c r="Q1242" s="512"/>
      <c r="R1242" s="513"/>
      <c r="S1242" s="131"/>
      <c r="T1242" s="470" t="str">
        <f t="shared" si="1484"/>
        <v/>
      </c>
      <c r="V1242" s="549"/>
      <c r="W1242" s="471">
        <f t="shared" ref="W1242:X1242" si="1504">W1241</f>
        <v>48</v>
      </c>
      <c r="X1242" s="471" t="e">
        <f t="shared" si="1504"/>
        <v>#REF!</v>
      </c>
      <c r="Y1242" s="471" t="e">
        <f t="shared" si="1486"/>
        <v>#REF!</v>
      </c>
      <c r="Z1242" s="471"/>
      <c r="AA1242" s="471"/>
      <c r="AB1242" s="435"/>
    </row>
    <row r="1243" spans="1:40" s="470" customFormat="1" ht="15.75" customHeight="1" x14ac:dyDescent="0.15">
      <c r="B1243" s="95"/>
      <c r="C1243" s="140"/>
      <c r="D1243" s="95"/>
      <c r="E1243" s="141"/>
      <c r="F1243" s="94"/>
      <c r="G1243" s="556"/>
      <c r="H1243" s="463" t="str">
        <f t="shared" si="1483"/>
        <v/>
      </c>
      <c r="I1243" s="451"/>
      <c r="J1243" s="506"/>
      <c r="K1243" s="507"/>
      <c r="L1243" s="506"/>
      <c r="M1243" s="507"/>
      <c r="N1243" s="507"/>
      <c r="O1243" s="507"/>
      <c r="P1243" s="508"/>
      <c r="Q1243" s="512"/>
      <c r="R1243" s="534"/>
      <c r="S1243" s="131"/>
      <c r="T1243" s="470" t="str">
        <f t="shared" si="1484"/>
        <v/>
      </c>
      <c r="V1243" s="549"/>
      <c r="W1243" s="471">
        <f t="shared" ref="W1243:X1243" si="1505">W1242</f>
        <v>48</v>
      </c>
      <c r="X1243" s="471" t="e">
        <f t="shared" si="1505"/>
        <v>#REF!</v>
      </c>
      <c r="Y1243" s="471" t="e">
        <f t="shared" si="1486"/>
        <v>#REF!</v>
      </c>
      <c r="Z1243" s="471"/>
      <c r="AA1243" s="471"/>
      <c r="AB1243" s="435"/>
    </row>
    <row r="1244" spans="1:40" s="470" customFormat="1" ht="15.75" customHeight="1" x14ac:dyDescent="0.15">
      <c r="B1244" s="95"/>
      <c r="C1244" s="140"/>
      <c r="D1244" s="95"/>
      <c r="E1244" s="141"/>
      <c r="F1244" s="94"/>
      <c r="G1244" s="556"/>
      <c r="H1244" s="463" t="str">
        <f t="shared" si="1483"/>
        <v/>
      </c>
      <c r="I1244" s="451"/>
      <c r="J1244" s="506"/>
      <c r="K1244" s="507"/>
      <c r="L1244" s="506"/>
      <c r="M1244" s="507"/>
      <c r="N1244" s="507"/>
      <c r="O1244" s="507"/>
      <c r="P1244" s="508"/>
      <c r="Q1244" s="512"/>
      <c r="R1244" s="534"/>
      <c r="S1244" s="131"/>
      <c r="T1244" s="470" t="str">
        <f t="shared" si="1484"/>
        <v/>
      </c>
      <c r="V1244" s="549"/>
      <c r="W1244" s="471">
        <f t="shared" ref="W1244:X1244" si="1506">W1243</f>
        <v>48</v>
      </c>
      <c r="X1244" s="471" t="e">
        <f t="shared" si="1506"/>
        <v>#REF!</v>
      </c>
      <c r="Y1244" s="471" t="e">
        <f t="shared" si="1486"/>
        <v>#REF!</v>
      </c>
      <c r="Z1244" s="471"/>
      <c r="AA1244" s="471"/>
      <c r="AB1244" s="435"/>
    </row>
    <row r="1245" spans="1:40" s="470" customFormat="1" ht="15.75" customHeight="1" x14ac:dyDescent="0.15">
      <c r="B1245" s="95"/>
      <c r="C1245" s="140"/>
      <c r="D1245" s="95"/>
      <c r="E1245" s="141"/>
      <c r="F1245" s="94"/>
      <c r="G1245" s="556"/>
      <c r="H1245" s="463" t="str">
        <f t="shared" si="1483"/>
        <v/>
      </c>
      <c r="I1245" s="451"/>
      <c r="J1245" s="506"/>
      <c r="K1245" s="507"/>
      <c r="L1245" s="506"/>
      <c r="M1245" s="507"/>
      <c r="N1245" s="507"/>
      <c r="O1245" s="507"/>
      <c r="P1245" s="508"/>
      <c r="Q1245" s="512"/>
      <c r="R1245" s="513"/>
      <c r="S1245" s="131"/>
      <c r="T1245" s="470" t="str">
        <f t="shared" si="1484"/>
        <v/>
      </c>
      <c r="V1245" s="549"/>
      <c r="W1245" s="471">
        <f t="shared" ref="W1245:X1245" si="1507">W1244</f>
        <v>48</v>
      </c>
      <c r="X1245" s="471" t="e">
        <f t="shared" si="1507"/>
        <v>#REF!</v>
      </c>
      <c r="Y1245" s="471" t="e">
        <f t="shared" si="1486"/>
        <v>#REF!</v>
      </c>
      <c r="Z1245" s="471"/>
      <c r="AA1245" s="471"/>
      <c r="AB1245" s="435"/>
    </row>
    <row r="1246" spans="1:40" s="470" customFormat="1" ht="15.75" customHeight="1" x14ac:dyDescent="0.15">
      <c r="B1246" s="514" t="s">
        <v>801</v>
      </c>
      <c r="C1246" s="515"/>
      <c r="D1246" s="516"/>
      <c r="E1246" s="517"/>
      <c r="F1246" s="518"/>
      <c r="G1246" s="557"/>
      <c r="H1246" s="463" t="str">
        <f t="shared" si="1483"/>
        <v/>
      </c>
      <c r="I1246" s="520">
        <f>목록!$B$54</f>
        <v>48</v>
      </c>
      <c r="J1246" s="521"/>
      <c r="K1246" s="522">
        <f>SUM(K1232:K1245)</f>
        <v>26447</v>
      </c>
      <c r="L1246" s="521"/>
      <c r="M1246" s="522">
        <f>SUM(M1232:M1245)</f>
        <v>15742</v>
      </c>
      <c r="N1246" s="521"/>
      <c r="O1246" s="522">
        <f>SUM(O1232:O1245)</f>
        <v>0</v>
      </c>
      <c r="P1246" s="523"/>
      <c r="Q1246" s="512"/>
      <c r="R1246" s="513"/>
      <c r="S1246" s="524"/>
      <c r="T1246" s="470" t="str">
        <f t="shared" si="1484"/>
        <v/>
      </c>
      <c r="V1246" s="549"/>
      <c r="W1246" s="471">
        <f t="shared" ref="W1246:X1246" si="1508">W1245</f>
        <v>48</v>
      </c>
      <c r="X1246" s="471" t="e">
        <f t="shared" si="1508"/>
        <v>#REF!</v>
      </c>
      <c r="Y1246" s="471" t="e">
        <f t="shared" si="1486"/>
        <v>#REF!</v>
      </c>
      <c r="Z1246" s="471"/>
      <c r="AA1246" s="471"/>
      <c r="AB1246" s="435"/>
    </row>
    <row r="1247" spans="1:40" s="470" customFormat="1" ht="15.75" customHeight="1" x14ac:dyDescent="0.15">
      <c r="B1247" s="453"/>
      <c r="C1247" s="209"/>
      <c r="D1247" s="95"/>
      <c r="E1247" s="141"/>
      <c r="F1247" s="94"/>
      <c r="G1247" s="556"/>
      <c r="H1247" s="463" t="str">
        <f t="shared" si="1483"/>
        <v/>
      </c>
      <c r="I1247" s="451"/>
      <c r="J1247" s="506"/>
      <c r="K1247" s="507"/>
      <c r="L1247" s="506"/>
      <c r="M1247" s="507"/>
      <c r="N1247" s="507"/>
      <c r="O1247" s="507"/>
      <c r="P1247" s="508"/>
      <c r="Q1247" s="512"/>
      <c r="R1247" s="513"/>
      <c r="S1247" s="131"/>
      <c r="T1247" s="470" t="str">
        <f t="shared" si="1484"/>
        <v/>
      </c>
      <c r="V1247" s="549"/>
      <c r="W1247" s="615">
        <f t="shared" ref="W1247:X1247" si="1509">W1246</f>
        <v>48</v>
      </c>
      <c r="X1247" s="471" t="e">
        <f t="shared" si="1509"/>
        <v>#REF!</v>
      </c>
      <c r="Y1247" s="471" t="e">
        <f t="shared" si="1486"/>
        <v>#REF!</v>
      </c>
      <c r="Z1247" s="471"/>
      <c r="AA1247" s="471"/>
      <c r="AB1247" s="435"/>
    </row>
    <row r="1248" spans="1:40" s="470" customFormat="1" ht="15.75" customHeight="1" x14ac:dyDescent="0.15">
      <c r="A1248" s="457"/>
      <c r="B1248" s="453"/>
      <c r="C1248" s="540" t="s">
        <v>640</v>
      </c>
      <c r="D1248" s="95"/>
      <c r="E1248" s="141"/>
      <c r="F1248" s="94"/>
      <c r="G1248" s="556"/>
      <c r="H1248" s="463" t="str">
        <f t="shared" si="1483"/>
        <v>※ 건축표준품셈 16-5-1 판유리끼우기</v>
      </c>
      <c r="I1248" s="451"/>
      <c r="J1248" s="506"/>
      <c r="K1248" s="507"/>
      <c r="L1248" s="506"/>
      <c r="M1248" s="507"/>
      <c r="N1248" s="507"/>
      <c r="O1248" s="507"/>
      <c r="P1248" s="508"/>
      <c r="Q1248" s="512"/>
      <c r="R1248" s="513"/>
      <c r="S1248" s="131"/>
      <c r="T1248" s="470" t="str">
        <f t="shared" si="1484"/>
        <v/>
      </c>
      <c r="V1248" s="551"/>
      <c r="W1248" s="471">
        <f t="shared" ref="W1248:X1248" si="1510">W1247</f>
        <v>48</v>
      </c>
      <c r="X1248" s="471" t="e">
        <f t="shared" si="1510"/>
        <v>#REF!</v>
      </c>
      <c r="Y1248" s="471" t="e">
        <f t="shared" si="1486"/>
        <v>#REF!</v>
      </c>
      <c r="Z1248" s="471"/>
      <c r="AA1248" s="471"/>
      <c r="AB1248" s="435"/>
    </row>
    <row r="1249" spans="1:40" s="470" customFormat="1" ht="15.75" customHeight="1" x14ac:dyDescent="0.15">
      <c r="B1249" s="514"/>
      <c r="C1249" s="209"/>
      <c r="D1249" s="516"/>
      <c r="E1249" s="517"/>
      <c r="F1249" s="518"/>
      <c r="G1249" s="557"/>
      <c r="H1249" s="463" t="str">
        <f t="shared" si="1483"/>
        <v/>
      </c>
      <c r="I1249" s="520"/>
      <c r="J1249" s="521"/>
      <c r="K1249" s="522"/>
      <c r="L1249" s="521"/>
      <c r="M1249" s="522"/>
      <c r="N1249" s="521"/>
      <c r="O1249" s="522"/>
      <c r="P1249" s="523"/>
      <c r="Q1249" s="512"/>
      <c r="R1249" s="513"/>
      <c r="S1249" s="524"/>
      <c r="T1249" s="470" t="str">
        <f t="shared" si="1484"/>
        <v/>
      </c>
      <c r="U1249" s="457"/>
      <c r="W1249" s="471">
        <f t="shared" ref="W1249:X1249" si="1511">W1248</f>
        <v>48</v>
      </c>
      <c r="X1249" s="471" t="e">
        <f t="shared" si="1511"/>
        <v>#REF!</v>
      </c>
      <c r="Y1249" s="471" t="e">
        <f t="shared" si="1486"/>
        <v>#REF!</v>
      </c>
      <c r="Z1249" s="471"/>
      <c r="AA1249" s="471"/>
      <c r="AB1249" s="435"/>
      <c r="AC1249" s="457"/>
      <c r="AD1249" s="457"/>
      <c r="AE1249" s="457"/>
      <c r="AF1249" s="457"/>
      <c r="AG1249" s="457"/>
      <c r="AH1249" s="457"/>
      <c r="AI1249" s="457"/>
      <c r="AJ1249" s="457"/>
      <c r="AK1249" s="457"/>
      <c r="AL1249" s="457"/>
      <c r="AM1249" s="457"/>
      <c r="AN1249" s="457"/>
    </row>
    <row r="1250" spans="1:40" s="473" customFormat="1" ht="15.75" customHeight="1" x14ac:dyDescent="0.15">
      <c r="A1250" s="599"/>
      <c r="C1250" s="458"/>
      <c r="D1250" s="459"/>
      <c r="E1250" s="460"/>
      <c r="F1250" s="461"/>
      <c r="G1250" s="553"/>
      <c r="H1250" s="463" t="str">
        <f t="shared" ref="H1250:H1275" si="1512">CONCATENATE(C1250,E1250,F1250)</f>
        <v/>
      </c>
      <c r="I1250" s="464"/>
      <c r="J1250" s="465"/>
      <c r="K1250" s="465"/>
      <c r="L1250" s="465"/>
      <c r="M1250" s="465"/>
      <c r="N1250" s="465"/>
      <c r="O1250" s="466"/>
      <c r="P1250" s="467"/>
      <c r="Q1250" s="468"/>
      <c r="R1250" s="526"/>
      <c r="S1250" s="467"/>
      <c r="T1250" s="599" t="str">
        <f t="shared" ref="T1250:T1275" si="1513">CONCATENATE(Q1250,R1250)</f>
        <v/>
      </c>
      <c r="U1250" s="599"/>
      <c r="V1250" s="599"/>
      <c r="W1250" s="533">
        <f t="shared" ref="W1250" si="1514">I1272</f>
        <v>49</v>
      </c>
      <c r="X1250" s="533" t="e">
        <f>#REF!+1</f>
        <v>#REF!</v>
      </c>
      <c r="Y1250" s="533" t="e">
        <f t="shared" ref="Y1250:Y1275" si="1515">X1250-W1250</f>
        <v>#REF!</v>
      </c>
      <c r="Z1250" s="533"/>
      <c r="AA1250" s="533"/>
      <c r="AB1250" s="435"/>
      <c r="AC1250" s="599"/>
      <c r="AD1250" s="599"/>
      <c r="AE1250" s="599"/>
      <c r="AF1250" s="599"/>
      <c r="AG1250" s="599"/>
      <c r="AH1250" s="599"/>
      <c r="AI1250" s="599"/>
      <c r="AJ1250" s="599"/>
      <c r="AK1250" s="599"/>
      <c r="AL1250" s="599"/>
      <c r="AM1250" s="599"/>
      <c r="AN1250" s="599"/>
    </row>
    <row r="1251" spans="1:40" s="599" customFormat="1" ht="15.75" customHeight="1" x14ac:dyDescent="0.15">
      <c r="A1251" s="473"/>
      <c r="B1251" s="473"/>
      <c r="C1251" s="746" t="str">
        <f>"   항목번호 : "&amp;목록!L$55</f>
        <v xml:space="preserve">   항목번호 : 제49호표</v>
      </c>
      <c r="D1251" s="475">
        <f>목록!B$54</f>
        <v>48</v>
      </c>
      <c r="E1251" s="476"/>
      <c r="F1251" s="477"/>
      <c r="G1251" s="554"/>
      <c r="H1251" s="463" t="str">
        <f t="shared" si="1512"/>
        <v xml:space="preserve">   항목번호 : 제49호표</v>
      </c>
      <c r="I1251" s="479"/>
      <c r="J1251" s="488"/>
      <c r="K1251" s="481"/>
      <c r="L1251" s="482"/>
      <c r="M1251" s="482"/>
      <c r="N1251" s="482"/>
      <c r="O1251" s="466"/>
      <c r="P1251" s="483"/>
      <c r="Q1251" s="654"/>
      <c r="R1251" s="485"/>
      <c r="S1251" s="483"/>
      <c r="T1251" s="599" t="str">
        <f t="shared" si="1513"/>
        <v/>
      </c>
      <c r="V1251" s="631"/>
      <c r="W1251" s="471">
        <f t="shared" ref="W1251:X1251" si="1516">W1250</f>
        <v>49</v>
      </c>
      <c r="X1251" s="471" t="e">
        <f t="shared" si="1516"/>
        <v>#REF!</v>
      </c>
      <c r="Y1251" s="471" t="e">
        <f t="shared" si="1515"/>
        <v>#REF!</v>
      </c>
      <c r="Z1251" s="471"/>
      <c r="AA1251" s="471"/>
      <c r="AB1251" s="435"/>
    </row>
    <row r="1252" spans="1:40" s="599" customFormat="1" ht="15.75" customHeight="1" x14ac:dyDescent="0.15">
      <c r="A1252" s="473"/>
      <c r="B1252" s="473"/>
      <c r="C1252" s="746" t="str">
        <f>"   공      종 : "&amp;목록!D$55</f>
        <v xml:space="preserve">   공      종 : DID MULTI MONITOR</v>
      </c>
      <c r="D1252" s="654"/>
      <c r="E1252" s="476"/>
      <c r="F1252" s="473"/>
      <c r="G1252" s="554"/>
      <c r="H1252" s="463" t="str">
        <f t="shared" si="1512"/>
        <v xml:space="preserve">   공      종 : DID MULTI MONITOR</v>
      </c>
      <c r="I1252" s="479"/>
      <c r="J1252" s="488"/>
      <c r="K1252" s="481"/>
      <c r="L1252" s="482"/>
      <c r="M1252" s="482"/>
      <c r="N1252" s="482"/>
      <c r="O1252" s="466"/>
      <c r="P1252" s="483"/>
      <c r="Q1252" s="654"/>
      <c r="R1252" s="485"/>
      <c r="S1252" s="483"/>
      <c r="T1252" s="599" t="str">
        <f t="shared" si="1513"/>
        <v/>
      </c>
      <c r="U1252" s="473"/>
      <c r="W1252" s="471">
        <f t="shared" ref="W1252:X1252" si="1517">W1251</f>
        <v>49</v>
      </c>
      <c r="X1252" s="471" t="e">
        <f t="shared" si="1517"/>
        <v>#REF!</v>
      </c>
      <c r="Y1252" s="471" t="e">
        <f t="shared" si="1515"/>
        <v>#REF!</v>
      </c>
      <c r="Z1252" s="471"/>
      <c r="AA1252" s="471"/>
      <c r="AB1252" s="435"/>
      <c r="AC1252" s="473"/>
      <c r="AD1252" s="473"/>
      <c r="AE1252" s="473"/>
      <c r="AF1252" s="473"/>
      <c r="AG1252" s="473"/>
      <c r="AH1252" s="473"/>
      <c r="AI1252" s="473"/>
      <c r="AJ1252" s="473"/>
      <c r="AK1252" s="473"/>
      <c r="AL1252" s="473"/>
      <c r="AM1252" s="473"/>
      <c r="AN1252" s="473"/>
    </row>
    <row r="1253" spans="1:40" s="473" customFormat="1" ht="15.75" customHeight="1" x14ac:dyDescent="0.15">
      <c r="C1253" s="746" t="str">
        <f xml:space="preserve"> "   규      격 : "&amp;목록!F$55</f>
        <v xml:space="preserve">   규      격 : 55" Full-HD,Silm Bezel</v>
      </c>
      <c r="D1253" s="654"/>
      <c r="E1253" s="476"/>
      <c r="G1253" s="554"/>
      <c r="H1253" s="463" t="str">
        <f t="shared" si="1512"/>
        <v xml:space="preserve">   규      격 : 55" Full-HD,Silm Bezel</v>
      </c>
      <c r="I1253" s="479"/>
      <c r="J1253" s="488" t="s">
        <v>348</v>
      </c>
      <c r="K1253" s="481"/>
      <c r="L1253" s="482" t="s">
        <v>349</v>
      </c>
      <c r="M1253" s="482"/>
      <c r="N1253" s="482" t="s">
        <v>240</v>
      </c>
      <c r="O1253" s="466"/>
      <c r="P1253" s="483"/>
      <c r="Q1253" s="654" t="s">
        <v>764</v>
      </c>
      <c r="R1253" s="654"/>
      <c r="S1253" s="483"/>
      <c r="T1253" s="599" t="str">
        <f t="shared" si="1513"/>
        <v>합계</v>
      </c>
      <c r="V1253" s="599"/>
      <c r="W1253" s="471">
        <f t="shared" ref="W1253:X1253" si="1518">W1252</f>
        <v>49</v>
      </c>
      <c r="X1253" s="471" t="e">
        <f t="shared" si="1518"/>
        <v>#REF!</v>
      </c>
      <c r="Y1253" s="471" t="e">
        <f t="shared" si="1515"/>
        <v>#REF!</v>
      </c>
      <c r="Z1253" s="471"/>
      <c r="AA1253" s="471"/>
      <c r="AB1253" s="435"/>
    </row>
    <row r="1254" spans="1:40" s="473" customFormat="1" ht="15.75" customHeight="1" x14ac:dyDescent="0.15">
      <c r="C1254" s="746" t="str">
        <f>"   단      위 : "&amp;목록!G$55</f>
        <v xml:space="preserve">   단      위 : EA</v>
      </c>
      <c r="D1254" s="654"/>
      <c r="E1254" s="476"/>
      <c r="G1254" s="554"/>
      <c r="H1254" s="463" t="str">
        <f t="shared" si="1512"/>
        <v xml:space="preserve">   단      위 : EA</v>
      </c>
      <c r="I1254" s="479"/>
      <c r="J1254" s="489">
        <f>K1272</f>
        <v>2400000</v>
      </c>
      <c r="K1254" s="481"/>
      <c r="L1254" s="487">
        <f>M1272</f>
        <v>206389</v>
      </c>
      <c r="M1254" s="482"/>
      <c r="N1254" s="482">
        <f>O1272</f>
        <v>0</v>
      </c>
      <c r="O1254" s="466"/>
      <c r="P1254" s="483"/>
      <c r="Q1254" s="488">
        <f>J1254+L1254+N1254</f>
        <v>2606389</v>
      </c>
      <c r="R1254" s="489"/>
      <c r="S1254" s="483"/>
      <c r="T1254" s="599" t="str">
        <f t="shared" si="1513"/>
        <v>2606389</v>
      </c>
      <c r="V1254" s="599"/>
      <c r="W1254" s="471">
        <f t="shared" ref="W1254:X1254" si="1519">W1253</f>
        <v>49</v>
      </c>
      <c r="X1254" s="471" t="e">
        <f t="shared" si="1519"/>
        <v>#REF!</v>
      </c>
      <c r="Y1254" s="471" t="e">
        <f t="shared" si="1515"/>
        <v>#REF!</v>
      </c>
      <c r="Z1254" s="471"/>
      <c r="AA1254" s="471"/>
      <c r="AB1254" s="435"/>
    </row>
    <row r="1255" spans="1:40" s="473" customFormat="1" ht="15.75" customHeight="1" x14ac:dyDescent="0.15">
      <c r="C1255" s="746"/>
      <c r="D1255" s="654"/>
      <c r="E1255" s="476"/>
      <c r="G1255" s="555"/>
      <c r="H1255" s="463" t="str">
        <f t="shared" si="1512"/>
        <v/>
      </c>
      <c r="I1255" s="491"/>
      <c r="J1255" s="482"/>
      <c r="K1255" s="465"/>
      <c r="L1255" s="482"/>
      <c r="M1255" s="482"/>
      <c r="N1255" s="482"/>
      <c r="O1255" s="466"/>
      <c r="P1255" s="492"/>
      <c r="Q1255" s="493"/>
      <c r="R1255" s="485"/>
      <c r="S1255" s="492"/>
      <c r="T1255" s="599" t="str">
        <f t="shared" si="1513"/>
        <v/>
      </c>
      <c r="V1255" s="599"/>
      <c r="W1255" s="471">
        <f t="shared" ref="W1255:X1255" si="1520">W1254</f>
        <v>49</v>
      </c>
      <c r="X1255" s="471" t="e">
        <f t="shared" si="1520"/>
        <v>#REF!</v>
      </c>
      <c r="Y1255" s="471" t="e">
        <f t="shared" si="1515"/>
        <v>#REF!</v>
      </c>
      <c r="Z1255" s="471"/>
      <c r="AA1255" s="471"/>
      <c r="AB1255" s="435"/>
    </row>
    <row r="1256" spans="1:40" s="473" customFormat="1" ht="15.75" customHeight="1" x14ac:dyDescent="0.15">
      <c r="B1256" s="899" t="s">
        <v>375</v>
      </c>
      <c r="C1256" s="900"/>
      <c r="D1256" s="907" t="s">
        <v>356</v>
      </c>
      <c r="E1256" s="908"/>
      <c r="F1256" s="903" t="s">
        <v>788</v>
      </c>
      <c r="G1256" s="911" t="s">
        <v>789</v>
      </c>
      <c r="H1256" s="463" t="str">
        <f t="shared" si="1512"/>
        <v>단위</v>
      </c>
      <c r="I1256" s="623"/>
      <c r="J1256" s="495" t="s">
        <v>348</v>
      </c>
      <c r="K1256" s="496"/>
      <c r="L1256" s="495" t="s">
        <v>349</v>
      </c>
      <c r="M1256" s="496"/>
      <c r="N1256" s="497" t="s">
        <v>240</v>
      </c>
      <c r="O1256" s="497"/>
      <c r="P1256" s="498"/>
      <c r="Q1256" s="862" t="s">
        <v>355</v>
      </c>
      <c r="R1256" s="862"/>
      <c r="S1256" s="499"/>
      <c r="T1256" s="599" t="str">
        <f t="shared" si="1513"/>
        <v>비  고</v>
      </c>
      <c r="V1256" s="599"/>
      <c r="W1256" s="471">
        <f t="shared" ref="W1256:X1256" si="1521">W1255</f>
        <v>49</v>
      </c>
      <c r="X1256" s="471" t="e">
        <f t="shared" si="1521"/>
        <v>#REF!</v>
      </c>
      <c r="Y1256" s="471" t="e">
        <f t="shared" si="1515"/>
        <v>#REF!</v>
      </c>
      <c r="Z1256" s="471"/>
      <c r="AA1256" s="471"/>
      <c r="AB1256" s="435"/>
    </row>
    <row r="1257" spans="1:40" s="473" customFormat="1" ht="15.75" customHeight="1" x14ac:dyDescent="0.15">
      <c r="B1257" s="901"/>
      <c r="C1257" s="902"/>
      <c r="D1257" s="909"/>
      <c r="E1257" s="910"/>
      <c r="F1257" s="904"/>
      <c r="G1257" s="912"/>
      <c r="H1257" s="463" t="str">
        <f t="shared" si="1512"/>
        <v/>
      </c>
      <c r="I1257" s="624"/>
      <c r="J1257" s="501" t="s">
        <v>353</v>
      </c>
      <c r="K1257" s="501" t="s">
        <v>354</v>
      </c>
      <c r="L1257" s="501" t="s">
        <v>353</v>
      </c>
      <c r="M1257" s="749" t="s">
        <v>354</v>
      </c>
      <c r="N1257" s="501" t="s">
        <v>353</v>
      </c>
      <c r="O1257" s="501" t="s">
        <v>354</v>
      </c>
      <c r="P1257" s="861"/>
      <c r="Q1257" s="863"/>
      <c r="R1257" s="863"/>
      <c r="S1257" s="504"/>
      <c r="T1257" s="599" t="str">
        <f t="shared" si="1513"/>
        <v/>
      </c>
      <c r="V1257" s="599"/>
      <c r="W1257" s="471">
        <f t="shared" ref="W1257:X1257" si="1522">W1256</f>
        <v>49</v>
      </c>
      <c r="X1257" s="471" t="e">
        <f t="shared" si="1522"/>
        <v>#REF!</v>
      </c>
      <c r="Y1257" s="471" t="e">
        <f t="shared" si="1515"/>
        <v>#REF!</v>
      </c>
      <c r="Z1257" s="471"/>
      <c r="AA1257" s="471"/>
      <c r="AB1257" s="435"/>
    </row>
    <row r="1258" spans="1:40" s="473" customFormat="1" ht="15.75" customHeight="1" x14ac:dyDescent="0.15">
      <c r="A1258" s="599"/>
      <c r="B1258" s="670"/>
      <c r="C1258" s="164" t="s">
        <v>1490</v>
      </c>
      <c r="D1258" s="165"/>
      <c r="E1258" s="164" t="s">
        <v>1492</v>
      </c>
      <c r="F1258" s="455" t="s">
        <v>1504</v>
      </c>
      <c r="G1258" s="556">
        <v>1</v>
      </c>
      <c r="H1258" s="463" t="str">
        <f t="shared" si="1512"/>
        <v>DID MULTI MONITOR55" Full-HD,Silm BezelEA</v>
      </c>
      <c r="I1258" s="671" t="str">
        <f>CONCATENATE(C1258,E1258,F1258)</f>
        <v>DID MULTI MONITOR55" Full-HD,Silm BezelEA</v>
      </c>
      <c r="J1258" s="506">
        <f>IF(OR($F1258="인",$F1258=""),"",VLOOKUP($H1258,단가!$A:$S,19,FALSE))</f>
        <v>2400000</v>
      </c>
      <c r="K1258" s="507">
        <f>IF(J1258="","",TRUNC($G1258*J1258,0))</f>
        <v>2400000</v>
      </c>
      <c r="L1258" s="506" t="str">
        <f>IF($F1258="인",VLOOKUP($C:$C,노임!$C:$G,4,FALSE),"")</f>
        <v/>
      </c>
      <c r="M1258" s="507" t="str">
        <f>IF(L1258="","",TRUNC($G1258*L1258,0))</f>
        <v/>
      </c>
      <c r="N1258" s="507"/>
      <c r="O1258" s="507" t="str">
        <f>IF(N1258="","",TRUNC($G1258*N1258,0))</f>
        <v/>
      </c>
      <c r="P1258" s="508"/>
      <c r="Q1258" s="509" t="str">
        <f>IF(F1258="인","노임"&amp;VLOOKUP($C:$C,노임!C:G,5,FALSE)&amp;"번","단가"&amp;VLOOKUP($H:$H,단가!$A:$B,2,FALSE)&amp;"번")</f>
        <v>단가117번</v>
      </c>
      <c r="R1258" s="510"/>
      <c r="S1258" s="131"/>
      <c r="T1258" s="599" t="str">
        <f t="shared" si="1513"/>
        <v>단가117번</v>
      </c>
      <c r="V1258" s="631"/>
      <c r="W1258" s="471">
        <f t="shared" ref="W1258:X1260" si="1523">W1257</f>
        <v>49</v>
      </c>
      <c r="X1258" s="471" t="e">
        <f t="shared" si="1523"/>
        <v>#REF!</v>
      </c>
      <c r="Y1258" s="471" t="e">
        <f t="shared" si="1515"/>
        <v>#REF!</v>
      </c>
      <c r="Z1258" s="471"/>
      <c r="AA1258" s="471"/>
      <c r="AB1258" s="435"/>
    </row>
    <row r="1259" spans="1:40" s="473" customFormat="1" ht="15.75" customHeight="1" x14ac:dyDescent="0.15">
      <c r="A1259" s="599"/>
      <c r="B1259" s="670"/>
      <c r="C1259" s="164" t="s">
        <v>1505</v>
      </c>
      <c r="D1259" s="165"/>
      <c r="E1259" s="164" t="s">
        <v>1507</v>
      </c>
      <c r="F1259" s="455" t="s">
        <v>1506</v>
      </c>
      <c r="G1259" s="556">
        <v>0.52</v>
      </c>
      <c r="H1259" s="463" t="str">
        <f t="shared" ref="H1259" si="1524">CONCATENATE(C1259,E1259,F1259)</f>
        <v>통신관련산업기사설치인</v>
      </c>
      <c r="I1259" s="671" t="str">
        <f>CONCATENATE(C1259,E1259,F1259)</f>
        <v>통신관련산업기사설치인</v>
      </c>
      <c r="J1259" s="506" t="str">
        <f>IF(OR($F1259="인",$F1259=""),"",VLOOKUP($H1259,단가!$A:$S,19,FALSE))</f>
        <v/>
      </c>
      <c r="K1259" s="507" t="str">
        <f>IF(J1259="","",TRUNC($G1259*J1259,0))</f>
        <v/>
      </c>
      <c r="L1259" s="506">
        <f>IF($F1259="인",VLOOKUP($C:$C,노임!$C:$G,4,FALSE),"")</f>
        <v>203601</v>
      </c>
      <c r="M1259" s="507">
        <f>IF(L1259="","",TRUNC($G1259*L1259,0))</f>
        <v>105872</v>
      </c>
      <c r="N1259" s="507"/>
      <c r="O1259" s="507" t="str">
        <f>IF(N1259="","",TRUNC($G1259*N1259,0))</f>
        <v/>
      </c>
      <c r="P1259" s="508"/>
      <c r="Q1259" s="509" t="str">
        <f>IF(F1259="인","노임"&amp;VLOOKUP($C:$C,노임!C:G,5,FALSE)&amp;"번","단가"&amp;VLOOKUP($H:$H,단가!$A:$B,2,FALSE)&amp;"번")</f>
        <v>노임5002번</v>
      </c>
      <c r="R1259" s="510"/>
      <c r="S1259" s="131"/>
      <c r="T1259" s="599" t="str">
        <f t="shared" ref="T1259" si="1525">CONCATENATE(Q1259,R1259)</f>
        <v>노임5002번</v>
      </c>
      <c r="V1259" s="631"/>
      <c r="W1259" s="471">
        <f t="shared" si="1523"/>
        <v>49</v>
      </c>
      <c r="X1259" s="471" t="e">
        <f t="shared" si="1523"/>
        <v>#REF!</v>
      </c>
      <c r="Y1259" s="471" t="e">
        <f t="shared" ref="Y1259" si="1526">X1259-W1259</f>
        <v>#REF!</v>
      </c>
      <c r="Z1259" s="471"/>
      <c r="AA1259" s="471"/>
      <c r="AB1259" s="435"/>
    </row>
    <row r="1260" spans="1:40" s="473" customFormat="1" ht="15.75" customHeight="1" x14ac:dyDescent="0.15">
      <c r="A1260" s="599"/>
      <c r="B1260" s="670"/>
      <c r="C1260" s="164" t="s">
        <v>1508</v>
      </c>
      <c r="D1260" s="165"/>
      <c r="E1260" s="164" t="s">
        <v>1507</v>
      </c>
      <c r="F1260" s="455" t="s">
        <v>1506</v>
      </c>
      <c r="G1260" s="556">
        <v>0.52</v>
      </c>
      <c r="H1260" s="463" t="str">
        <f t="shared" ref="H1260" si="1527">CONCATENATE(C1260,E1260,F1260)</f>
        <v>통신설비공설치인</v>
      </c>
      <c r="I1260" s="671" t="str">
        <f>CONCATENATE(C1260,E1260,F1260)</f>
        <v>통신설비공설치인</v>
      </c>
      <c r="J1260" s="506" t="str">
        <f>IF(OR($F1260="인",$F1260=""),"",VLOOKUP($H1260,단가!$A:$S,19,FALSE))</f>
        <v/>
      </c>
      <c r="K1260" s="507" t="str">
        <f>IF(J1260="","",TRUNC($G1260*J1260,0))</f>
        <v/>
      </c>
      <c r="L1260" s="506">
        <f>IF($F1260="인",VLOOKUP($C:$C,노임!$C:$G,4,FALSE),"")</f>
        <v>193302</v>
      </c>
      <c r="M1260" s="507">
        <f>IF(L1260="","",TRUNC($G1260*L1260,0))</f>
        <v>100517</v>
      </c>
      <c r="N1260" s="507"/>
      <c r="O1260" s="507" t="str">
        <f>IF(N1260="","",TRUNC($G1260*N1260,0))</f>
        <v/>
      </c>
      <c r="P1260" s="508"/>
      <c r="Q1260" s="509" t="str">
        <f>IF(F1260="인","노임"&amp;VLOOKUP($C:$C,노임!C:G,5,FALSE)&amp;"번","단가"&amp;VLOOKUP($H:$H,단가!$A:$B,2,FALSE)&amp;"번")</f>
        <v>노임1087번</v>
      </c>
      <c r="R1260" s="510"/>
      <c r="S1260" s="131"/>
      <c r="T1260" s="599" t="str">
        <f t="shared" ref="T1260" si="1528">CONCATENATE(Q1260,R1260)</f>
        <v>노임1087번</v>
      </c>
      <c r="V1260" s="631"/>
      <c r="W1260" s="471">
        <f t="shared" si="1523"/>
        <v>49</v>
      </c>
      <c r="X1260" s="471" t="e">
        <f t="shared" si="1523"/>
        <v>#REF!</v>
      </c>
      <c r="Y1260" s="471" t="e">
        <f t="shared" ref="Y1260" si="1529">X1260-W1260</f>
        <v>#REF!</v>
      </c>
      <c r="Z1260" s="471"/>
      <c r="AA1260" s="471"/>
      <c r="AB1260" s="435"/>
    </row>
    <row r="1261" spans="1:40" s="473" customFormat="1" ht="15.75" customHeight="1" x14ac:dyDescent="0.15">
      <c r="A1261" s="599"/>
      <c r="B1261" s="670"/>
      <c r="C1261" s="140"/>
      <c r="D1261" s="670"/>
      <c r="E1261" s="643"/>
      <c r="F1261" s="207"/>
      <c r="G1261" s="556"/>
      <c r="H1261" s="463" t="str">
        <f t="shared" si="1512"/>
        <v/>
      </c>
      <c r="I1261" s="671"/>
      <c r="J1261" s="506"/>
      <c r="K1261" s="507"/>
      <c r="L1261" s="506"/>
      <c r="M1261" s="507"/>
      <c r="N1261" s="507"/>
      <c r="O1261" s="507"/>
      <c r="P1261" s="508"/>
      <c r="Q1261" s="512"/>
      <c r="R1261" s="534"/>
      <c r="S1261" s="131"/>
      <c r="T1261" s="599" t="str">
        <f t="shared" si="1513"/>
        <v/>
      </c>
      <c r="U1261" s="599"/>
      <c r="V1261" s="549"/>
      <c r="W1261" s="471">
        <f t="shared" ref="W1261:X1261" si="1530">W1260</f>
        <v>49</v>
      </c>
      <c r="X1261" s="471" t="e">
        <f t="shared" si="1530"/>
        <v>#REF!</v>
      </c>
      <c r="Y1261" s="471" t="e">
        <f t="shared" si="1515"/>
        <v>#REF!</v>
      </c>
      <c r="Z1261" s="471"/>
      <c r="AA1261" s="471"/>
      <c r="AB1261" s="435"/>
      <c r="AC1261" s="599"/>
      <c r="AD1261" s="599"/>
      <c r="AE1261" s="599"/>
      <c r="AF1261" s="599"/>
      <c r="AG1261" s="599"/>
      <c r="AH1261" s="599"/>
      <c r="AI1261" s="599"/>
      <c r="AJ1261" s="599"/>
      <c r="AK1261" s="599"/>
      <c r="AL1261" s="599"/>
      <c r="AM1261" s="599"/>
      <c r="AN1261" s="599"/>
    </row>
    <row r="1262" spans="1:40" s="599" customFormat="1" ht="15.75" customHeight="1" x14ac:dyDescent="0.15">
      <c r="B1262" s="670"/>
      <c r="C1262" s="212"/>
      <c r="D1262" s="213"/>
      <c r="E1262" s="602"/>
      <c r="F1262" s="207"/>
      <c r="G1262" s="556"/>
      <c r="H1262" s="463" t="str">
        <f t="shared" si="1512"/>
        <v/>
      </c>
      <c r="I1262" s="671"/>
      <c r="J1262" s="506"/>
      <c r="K1262" s="507"/>
      <c r="L1262" s="506"/>
      <c r="M1262" s="507"/>
      <c r="N1262" s="507"/>
      <c r="O1262" s="507"/>
      <c r="P1262" s="508"/>
      <c r="Q1262" s="512"/>
      <c r="R1262" s="534"/>
      <c r="S1262" s="131"/>
      <c r="T1262" s="599" t="str">
        <f t="shared" si="1513"/>
        <v/>
      </c>
      <c r="V1262" s="549"/>
      <c r="W1262" s="471">
        <f t="shared" ref="W1262:X1262" si="1531">W1261</f>
        <v>49</v>
      </c>
      <c r="X1262" s="471" t="e">
        <f t="shared" si="1531"/>
        <v>#REF!</v>
      </c>
      <c r="Y1262" s="471" t="e">
        <f t="shared" si="1515"/>
        <v>#REF!</v>
      </c>
      <c r="Z1262" s="471"/>
      <c r="AA1262" s="471"/>
      <c r="AB1262" s="435"/>
    </row>
    <row r="1263" spans="1:40" s="599" customFormat="1" ht="15.75" customHeight="1" x14ac:dyDescent="0.15">
      <c r="B1263" s="670"/>
      <c r="C1263" s="212"/>
      <c r="D1263" s="213"/>
      <c r="E1263" s="602"/>
      <c r="F1263" s="207"/>
      <c r="G1263" s="556"/>
      <c r="H1263" s="463" t="str">
        <f t="shared" si="1512"/>
        <v/>
      </c>
      <c r="I1263" s="671"/>
      <c r="J1263" s="506"/>
      <c r="K1263" s="507"/>
      <c r="L1263" s="506"/>
      <c r="M1263" s="507"/>
      <c r="N1263" s="507"/>
      <c r="O1263" s="507"/>
      <c r="P1263" s="508"/>
      <c r="Q1263" s="512"/>
      <c r="R1263" s="534"/>
      <c r="S1263" s="131"/>
      <c r="T1263" s="599" t="str">
        <f t="shared" si="1513"/>
        <v/>
      </c>
      <c r="V1263" s="549"/>
      <c r="W1263" s="471">
        <f t="shared" ref="W1263:X1263" si="1532">W1262</f>
        <v>49</v>
      </c>
      <c r="X1263" s="471" t="e">
        <f t="shared" si="1532"/>
        <v>#REF!</v>
      </c>
      <c r="Y1263" s="471" t="e">
        <f t="shared" si="1515"/>
        <v>#REF!</v>
      </c>
      <c r="Z1263" s="471"/>
      <c r="AA1263" s="471"/>
      <c r="AB1263" s="435"/>
    </row>
    <row r="1264" spans="1:40" s="599" customFormat="1" ht="15.75" customHeight="1" x14ac:dyDescent="0.15">
      <c r="B1264" s="670"/>
      <c r="C1264" s="140"/>
      <c r="D1264" s="670"/>
      <c r="E1264" s="643"/>
      <c r="F1264" s="207"/>
      <c r="G1264" s="556"/>
      <c r="H1264" s="463" t="str">
        <f t="shared" si="1512"/>
        <v/>
      </c>
      <c r="I1264" s="671"/>
      <c r="J1264" s="506"/>
      <c r="K1264" s="507"/>
      <c r="L1264" s="506"/>
      <c r="M1264" s="507"/>
      <c r="N1264" s="507"/>
      <c r="O1264" s="507"/>
      <c r="P1264" s="508"/>
      <c r="Q1264" s="512"/>
      <c r="R1264" s="534"/>
      <c r="S1264" s="131"/>
      <c r="T1264" s="599" t="str">
        <f t="shared" si="1513"/>
        <v/>
      </c>
      <c r="V1264" s="549"/>
      <c r="W1264" s="471">
        <f t="shared" ref="W1264:X1264" si="1533">W1263</f>
        <v>49</v>
      </c>
      <c r="X1264" s="471" t="e">
        <f t="shared" si="1533"/>
        <v>#REF!</v>
      </c>
      <c r="Y1264" s="471" t="e">
        <f t="shared" si="1515"/>
        <v>#REF!</v>
      </c>
      <c r="Z1264" s="471"/>
      <c r="AA1264" s="471"/>
      <c r="AB1264" s="435"/>
    </row>
    <row r="1265" spans="1:40" s="599" customFormat="1" ht="15.75" customHeight="1" x14ac:dyDescent="0.15">
      <c r="B1265" s="670"/>
      <c r="C1265" s="140"/>
      <c r="D1265" s="670"/>
      <c r="E1265" s="643"/>
      <c r="F1265" s="207"/>
      <c r="G1265" s="556"/>
      <c r="H1265" s="463" t="str">
        <f t="shared" si="1512"/>
        <v/>
      </c>
      <c r="I1265" s="671"/>
      <c r="J1265" s="506"/>
      <c r="K1265" s="507"/>
      <c r="L1265" s="506"/>
      <c r="M1265" s="507"/>
      <c r="N1265" s="507"/>
      <c r="O1265" s="507"/>
      <c r="P1265" s="508"/>
      <c r="Q1265" s="512"/>
      <c r="R1265" s="513"/>
      <c r="S1265" s="131"/>
      <c r="T1265" s="599" t="str">
        <f t="shared" si="1513"/>
        <v/>
      </c>
      <c r="V1265" s="549"/>
      <c r="W1265" s="471">
        <f t="shared" ref="W1265:X1265" si="1534">W1264</f>
        <v>49</v>
      </c>
      <c r="X1265" s="471" t="e">
        <f t="shared" si="1534"/>
        <v>#REF!</v>
      </c>
      <c r="Y1265" s="471" t="e">
        <f t="shared" si="1515"/>
        <v>#REF!</v>
      </c>
      <c r="Z1265" s="471"/>
      <c r="AA1265" s="471"/>
      <c r="AB1265" s="435"/>
    </row>
    <row r="1266" spans="1:40" s="599" customFormat="1" ht="15.75" customHeight="1" x14ac:dyDescent="0.15">
      <c r="B1266" s="670"/>
      <c r="C1266" s="140"/>
      <c r="D1266" s="670"/>
      <c r="E1266" s="643"/>
      <c r="F1266" s="207"/>
      <c r="G1266" s="556"/>
      <c r="H1266" s="463" t="str">
        <f t="shared" si="1512"/>
        <v/>
      </c>
      <c r="I1266" s="671"/>
      <c r="J1266" s="506"/>
      <c r="K1266" s="507"/>
      <c r="L1266" s="506"/>
      <c r="M1266" s="507"/>
      <c r="N1266" s="507"/>
      <c r="O1266" s="507"/>
      <c r="P1266" s="508"/>
      <c r="Q1266" s="512"/>
      <c r="R1266" s="534"/>
      <c r="S1266" s="131"/>
      <c r="T1266" s="599" t="str">
        <f t="shared" si="1513"/>
        <v/>
      </c>
      <c r="V1266" s="549"/>
      <c r="W1266" s="471">
        <f t="shared" ref="W1266:X1266" si="1535">W1265</f>
        <v>49</v>
      </c>
      <c r="X1266" s="471" t="e">
        <f t="shared" si="1535"/>
        <v>#REF!</v>
      </c>
      <c r="Y1266" s="471" t="e">
        <f t="shared" si="1515"/>
        <v>#REF!</v>
      </c>
      <c r="Z1266" s="471"/>
      <c r="AA1266" s="471"/>
      <c r="AB1266" s="435"/>
    </row>
    <row r="1267" spans="1:40" s="599" customFormat="1" ht="15.75" customHeight="1" x14ac:dyDescent="0.15">
      <c r="B1267" s="670"/>
      <c r="C1267" s="140"/>
      <c r="D1267" s="670"/>
      <c r="E1267" s="643"/>
      <c r="F1267" s="207"/>
      <c r="G1267" s="556"/>
      <c r="H1267" s="463" t="str">
        <f t="shared" si="1512"/>
        <v/>
      </c>
      <c r="I1267" s="671"/>
      <c r="J1267" s="506"/>
      <c r="K1267" s="507"/>
      <c r="L1267" s="506"/>
      <c r="M1267" s="507"/>
      <c r="N1267" s="507"/>
      <c r="O1267" s="507"/>
      <c r="P1267" s="508"/>
      <c r="Q1267" s="512"/>
      <c r="R1267" s="534"/>
      <c r="S1267" s="131"/>
      <c r="T1267" s="599" t="str">
        <f t="shared" si="1513"/>
        <v/>
      </c>
      <c r="V1267" s="549"/>
      <c r="W1267" s="471">
        <f t="shared" ref="W1267:X1267" si="1536">W1266</f>
        <v>49</v>
      </c>
      <c r="X1267" s="471" t="e">
        <f t="shared" si="1536"/>
        <v>#REF!</v>
      </c>
      <c r="Y1267" s="471" t="e">
        <f t="shared" si="1515"/>
        <v>#REF!</v>
      </c>
      <c r="Z1267" s="471"/>
      <c r="AA1267" s="471"/>
      <c r="AB1267" s="435"/>
    </row>
    <row r="1268" spans="1:40" s="599" customFormat="1" ht="15.75" customHeight="1" x14ac:dyDescent="0.15">
      <c r="B1268" s="670"/>
      <c r="C1268" s="140"/>
      <c r="D1268" s="670"/>
      <c r="E1268" s="643"/>
      <c r="F1268" s="207"/>
      <c r="G1268" s="556"/>
      <c r="H1268" s="463" t="str">
        <f t="shared" si="1512"/>
        <v/>
      </c>
      <c r="I1268" s="671"/>
      <c r="J1268" s="506"/>
      <c r="K1268" s="507"/>
      <c r="L1268" s="506"/>
      <c r="M1268" s="507"/>
      <c r="N1268" s="507"/>
      <c r="O1268" s="507"/>
      <c r="P1268" s="508"/>
      <c r="Q1268" s="512"/>
      <c r="R1268" s="513"/>
      <c r="S1268" s="131"/>
      <c r="T1268" s="599" t="str">
        <f t="shared" si="1513"/>
        <v/>
      </c>
      <c r="V1268" s="549"/>
      <c r="W1268" s="471">
        <f t="shared" ref="W1268:X1268" si="1537">W1267</f>
        <v>49</v>
      </c>
      <c r="X1268" s="471" t="e">
        <f t="shared" si="1537"/>
        <v>#REF!</v>
      </c>
      <c r="Y1268" s="471" t="e">
        <f t="shared" si="1515"/>
        <v>#REF!</v>
      </c>
      <c r="Z1268" s="471"/>
      <c r="AA1268" s="471"/>
      <c r="AB1268" s="435"/>
    </row>
    <row r="1269" spans="1:40" s="599" customFormat="1" ht="15.75" customHeight="1" x14ac:dyDescent="0.15">
      <c r="B1269" s="670"/>
      <c r="C1269" s="140"/>
      <c r="D1269" s="670"/>
      <c r="E1269" s="643"/>
      <c r="F1269" s="207"/>
      <c r="G1269" s="556"/>
      <c r="H1269" s="463" t="str">
        <f t="shared" si="1512"/>
        <v/>
      </c>
      <c r="I1269" s="671"/>
      <c r="J1269" s="506"/>
      <c r="K1269" s="507"/>
      <c r="L1269" s="506"/>
      <c r="M1269" s="507"/>
      <c r="N1269" s="507"/>
      <c r="O1269" s="507"/>
      <c r="P1269" s="508"/>
      <c r="Q1269" s="512"/>
      <c r="R1269" s="534"/>
      <c r="S1269" s="131"/>
      <c r="T1269" s="599" t="str">
        <f t="shared" si="1513"/>
        <v/>
      </c>
      <c r="V1269" s="549"/>
      <c r="W1269" s="471">
        <f t="shared" ref="W1269:X1269" si="1538">W1268</f>
        <v>49</v>
      </c>
      <c r="X1269" s="471" t="e">
        <f t="shared" si="1538"/>
        <v>#REF!</v>
      </c>
      <c r="Y1269" s="471" t="e">
        <f t="shared" si="1515"/>
        <v>#REF!</v>
      </c>
      <c r="Z1269" s="471"/>
      <c r="AA1269" s="471"/>
      <c r="AB1269" s="435"/>
    </row>
    <row r="1270" spans="1:40" s="599" customFormat="1" ht="15.75" customHeight="1" x14ac:dyDescent="0.15">
      <c r="B1270" s="670"/>
      <c r="C1270" s="140"/>
      <c r="D1270" s="670"/>
      <c r="E1270" s="643"/>
      <c r="F1270" s="207"/>
      <c r="G1270" s="556"/>
      <c r="H1270" s="463" t="str">
        <f t="shared" si="1512"/>
        <v/>
      </c>
      <c r="I1270" s="671"/>
      <c r="J1270" s="506"/>
      <c r="K1270" s="507"/>
      <c r="L1270" s="506"/>
      <c r="M1270" s="507"/>
      <c r="N1270" s="507"/>
      <c r="O1270" s="507"/>
      <c r="P1270" s="508"/>
      <c r="Q1270" s="512"/>
      <c r="R1270" s="534"/>
      <c r="S1270" s="131"/>
      <c r="T1270" s="599" t="str">
        <f t="shared" si="1513"/>
        <v/>
      </c>
      <c r="V1270" s="549"/>
      <c r="W1270" s="471">
        <f t="shared" ref="W1270:X1270" si="1539">W1269</f>
        <v>49</v>
      </c>
      <c r="X1270" s="471" t="e">
        <f t="shared" si="1539"/>
        <v>#REF!</v>
      </c>
      <c r="Y1270" s="471" t="e">
        <f t="shared" si="1515"/>
        <v>#REF!</v>
      </c>
      <c r="Z1270" s="471"/>
      <c r="AA1270" s="471"/>
      <c r="AB1270" s="435"/>
    </row>
    <row r="1271" spans="1:40" s="599" customFormat="1" ht="15.75" customHeight="1" x14ac:dyDescent="0.15">
      <c r="B1271" s="670"/>
      <c r="C1271" s="140"/>
      <c r="D1271" s="670"/>
      <c r="E1271" s="643"/>
      <c r="F1271" s="207"/>
      <c r="G1271" s="556"/>
      <c r="H1271" s="463" t="str">
        <f t="shared" si="1512"/>
        <v/>
      </c>
      <c r="I1271" s="671"/>
      <c r="J1271" s="506"/>
      <c r="K1271" s="507"/>
      <c r="L1271" s="506"/>
      <c r="M1271" s="507"/>
      <c r="N1271" s="507"/>
      <c r="O1271" s="507"/>
      <c r="P1271" s="508"/>
      <c r="Q1271" s="512"/>
      <c r="R1271" s="513"/>
      <c r="S1271" s="131"/>
      <c r="T1271" s="599" t="str">
        <f t="shared" si="1513"/>
        <v/>
      </c>
      <c r="V1271" s="549"/>
      <c r="W1271" s="471">
        <f t="shared" ref="W1271:X1271" si="1540">W1270</f>
        <v>49</v>
      </c>
      <c r="X1271" s="471" t="e">
        <f t="shared" si="1540"/>
        <v>#REF!</v>
      </c>
      <c r="Y1271" s="471" t="e">
        <f t="shared" si="1515"/>
        <v>#REF!</v>
      </c>
      <c r="Z1271" s="471"/>
      <c r="AA1271" s="471"/>
      <c r="AB1271" s="435"/>
    </row>
    <row r="1272" spans="1:40" s="599" customFormat="1" ht="15.75" customHeight="1" x14ac:dyDescent="0.15">
      <c r="B1272" s="514" t="s">
        <v>801</v>
      </c>
      <c r="C1272" s="515"/>
      <c r="D1272" s="516"/>
      <c r="E1272" s="517"/>
      <c r="F1272" s="518"/>
      <c r="G1272" s="557"/>
      <c r="H1272" s="463" t="str">
        <f t="shared" si="1512"/>
        <v/>
      </c>
      <c r="I1272" s="520">
        <f>목록!$B$55</f>
        <v>49</v>
      </c>
      <c r="J1272" s="521"/>
      <c r="K1272" s="522">
        <f>SUM(K1258:K1271)</f>
        <v>2400000</v>
      </c>
      <c r="L1272" s="521"/>
      <c r="M1272" s="522">
        <f>SUM(M1258:M1271)</f>
        <v>206389</v>
      </c>
      <c r="N1272" s="521"/>
      <c r="O1272" s="522">
        <f>SUM(O1258:O1271)</f>
        <v>0</v>
      </c>
      <c r="P1272" s="523"/>
      <c r="Q1272" s="512"/>
      <c r="R1272" s="513"/>
      <c r="S1272" s="524"/>
      <c r="T1272" s="599" t="str">
        <f t="shared" si="1513"/>
        <v/>
      </c>
      <c r="V1272" s="549"/>
      <c r="W1272" s="471">
        <f t="shared" ref="W1272:X1272" si="1541">W1271</f>
        <v>49</v>
      </c>
      <c r="X1272" s="471" t="e">
        <f t="shared" si="1541"/>
        <v>#REF!</v>
      </c>
      <c r="Y1272" s="471" t="e">
        <f t="shared" si="1515"/>
        <v>#REF!</v>
      </c>
      <c r="Z1272" s="471"/>
      <c r="AA1272" s="471"/>
      <c r="AB1272" s="435"/>
    </row>
    <row r="1273" spans="1:40" s="599" customFormat="1" ht="15.75" customHeight="1" x14ac:dyDescent="0.15">
      <c r="B1273" s="453"/>
      <c r="C1273" s="630"/>
      <c r="D1273" s="670"/>
      <c r="E1273" s="643"/>
      <c r="F1273" s="207"/>
      <c r="G1273" s="556"/>
      <c r="H1273" s="463" t="str">
        <f t="shared" si="1512"/>
        <v/>
      </c>
      <c r="I1273" s="671"/>
      <c r="J1273" s="506"/>
      <c r="K1273" s="507"/>
      <c r="L1273" s="506"/>
      <c r="M1273" s="507"/>
      <c r="N1273" s="507"/>
      <c r="O1273" s="507"/>
      <c r="P1273" s="508"/>
      <c r="Q1273" s="512"/>
      <c r="R1273" s="513"/>
      <c r="S1273" s="131"/>
      <c r="T1273" s="599" t="str">
        <f t="shared" si="1513"/>
        <v/>
      </c>
      <c r="V1273" s="549"/>
      <c r="W1273" s="615">
        <f t="shared" ref="W1273:X1273" si="1542">W1272</f>
        <v>49</v>
      </c>
      <c r="X1273" s="471" t="e">
        <f t="shared" si="1542"/>
        <v>#REF!</v>
      </c>
      <c r="Y1273" s="471" t="e">
        <f t="shared" si="1515"/>
        <v>#REF!</v>
      </c>
      <c r="Z1273" s="471"/>
      <c r="AA1273" s="471"/>
      <c r="AB1273" s="435"/>
    </row>
    <row r="1274" spans="1:40" s="599" customFormat="1" ht="15.75" customHeight="1" x14ac:dyDescent="0.15">
      <c r="A1274" s="473"/>
      <c r="B1274" s="453"/>
      <c r="C1274" s="540" t="s">
        <v>1503</v>
      </c>
      <c r="D1274" s="670"/>
      <c r="E1274" s="643"/>
      <c r="F1274" s="207"/>
      <c r="G1274" s="556"/>
      <c r="H1274" s="463" t="str">
        <f t="shared" si="1512"/>
        <v>※ 정보통신표준품셈 7-11-1 방송국 설비 (Video Monitor 41" 이상)</v>
      </c>
      <c r="I1274" s="671"/>
      <c r="J1274" s="506"/>
      <c r="K1274" s="507"/>
      <c r="L1274" s="506"/>
      <c r="M1274" s="507"/>
      <c r="N1274" s="507"/>
      <c r="O1274" s="507"/>
      <c r="P1274" s="508"/>
      <c r="Q1274" s="512"/>
      <c r="R1274" s="513"/>
      <c r="S1274" s="131"/>
      <c r="T1274" s="599" t="str">
        <f t="shared" si="1513"/>
        <v/>
      </c>
      <c r="V1274" s="631"/>
      <c r="W1274" s="471">
        <f t="shared" ref="W1274:X1274" si="1543">W1273</f>
        <v>49</v>
      </c>
      <c r="X1274" s="471" t="e">
        <f t="shared" si="1543"/>
        <v>#REF!</v>
      </c>
      <c r="Y1274" s="471" t="e">
        <f t="shared" si="1515"/>
        <v>#REF!</v>
      </c>
      <c r="Z1274" s="471"/>
      <c r="AA1274" s="471"/>
      <c r="AB1274" s="435"/>
    </row>
    <row r="1275" spans="1:40" s="599" customFormat="1" ht="15.75" customHeight="1" x14ac:dyDescent="0.15">
      <c r="B1275" s="514"/>
      <c r="C1275" s="630"/>
      <c r="D1275" s="516"/>
      <c r="E1275" s="517"/>
      <c r="F1275" s="518"/>
      <c r="G1275" s="557"/>
      <c r="H1275" s="463" t="str">
        <f t="shared" si="1512"/>
        <v/>
      </c>
      <c r="I1275" s="520"/>
      <c r="J1275" s="521"/>
      <c r="K1275" s="522"/>
      <c r="L1275" s="521"/>
      <c r="M1275" s="522"/>
      <c r="N1275" s="521"/>
      <c r="O1275" s="522"/>
      <c r="P1275" s="523"/>
      <c r="Q1275" s="512"/>
      <c r="R1275" s="513"/>
      <c r="S1275" s="524"/>
      <c r="T1275" s="599" t="str">
        <f t="shared" si="1513"/>
        <v/>
      </c>
      <c r="U1275" s="473"/>
      <c r="W1275" s="471">
        <f t="shared" ref="W1275:X1275" si="1544">W1274</f>
        <v>49</v>
      </c>
      <c r="X1275" s="471" t="e">
        <f t="shared" si="1544"/>
        <v>#REF!</v>
      </c>
      <c r="Y1275" s="471" t="e">
        <f t="shared" si="1515"/>
        <v>#REF!</v>
      </c>
      <c r="Z1275" s="471"/>
      <c r="AA1275" s="471"/>
      <c r="AB1275" s="435"/>
      <c r="AC1275" s="473"/>
      <c r="AD1275" s="473"/>
      <c r="AE1275" s="473"/>
      <c r="AF1275" s="473"/>
      <c r="AG1275" s="473"/>
      <c r="AH1275" s="473"/>
      <c r="AI1275" s="473"/>
      <c r="AJ1275" s="473"/>
      <c r="AK1275" s="473"/>
      <c r="AL1275" s="473"/>
      <c r="AM1275" s="473"/>
      <c r="AN1275" s="473"/>
    </row>
    <row r="1276" spans="1:40" s="473" customFormat="1" ht="15.75" customHeight="1" x14ac:dyDescent="0.15">
      <c r="A1276" s="599"/>
      <c r="C1276" s="458"/>
      <c r="D1276" s="459"/>
      <c r="E1276" s="460"/>
      <c r="F1276" s="461"/>
      <c r="G1276" s="553"/>
      <c r="H1276" s="463" t="str">
        <f t="shared" si="1483"/>
        <v/>
      </c>
      <c r="I1276" s="464"/>
      <c r="J1276" s="465"/>
      <c r="K1276" s="465"/>
      <c r="L1276" s="465"/>
      <c r="M1276" s="465"/>
      <c r="N1276" s="465"/>
      <c r="O1276" s="466"/>
      <c r="P1276" s="467"/>
      <c r="Q1276" s="468"/>
      <c r="R1276" s="526"/>
      <c r="S1276" s="467"/>
      <c r="T1276" s="599" t="str">
        <f t="shared" si="1484"/>
        <v/>
      </c>
      <c r="U1276" s="599"/>
      <c r="V1276" s="599"/>
      <c r="W1276" s="533">
        <f t="shared" ref="W1276" si="1545">I1298</f>
        <v>50</v>
      </c>
      <c r="X1276" s="533" t="e">
        <f>#REF!+1</f>
        <v>#REF!</v>
      </c>
      <c r="Y1276" s="533" t="e">
        <f t="shared" si="1486"/>
        <v>#REF!</v>
      </c>
      <c r="Z1276" s="533"/>
      <c r="AA1276" s="533"/>
      <c r="AB1276" s="435"/>
      <c r="AC1276" s="599"/>
      <c r="AD1276" s="599"/>
      <c r="AE1276" s="599"/>
      <c r="AF1276" s="599"/>
      <c r="AG1276" s="599"/>
      <c r="AH1276" s="599"/>
      <c r="AI1276" s="599"/>
      <c r="AJ1276" s="599"/>
      <c r="AK1276" s="599"/>
      <c r="AL1276" s="599"/>
      <c r="AM1276" s="599"/>
      <c r="AN1276" s="599"/>
    </row>
    <row r="1277" spans="1:40" s="599" customFormat="1" ht="15.75" customHeight="1" x14ac:dyDescent="0.15">
      <c r="A1277" s="473"/>
      <c r="B1277" s="473"/>
      <c r="C1277" s="746" t="str">
        <f>"   항목번호 : "&amp;목록!L$56</f>
        <v xml:space="preserve">   항목번호 : 제50호표</v>
      </c>
      <c r="D1277" s="475">
        <f>목록!B$54</f>
        <v>48</v>
      </c>
      <c r="E1277" s="476"/>
      <c r="F1277" s="477"/>
      <c r="G1277" s="554"/>
      <c r="H1277" s="463" t="str">
        <f t="shared" si="1483"/>
        <v xml:space="preserve">   항목번호 : 제50호표</v>
      </c>
      <c r="I1277" s="479"/>
      <c r="J1277" s="488"/>
      <c r="K1277" s="481"/>
      <c r="L1277" s="482"/>
      <c r="M1277" s="482"/>
      <c r="N1277" s="482"/>
      <c r="O1277" s="466"/>
      <c r="P1277" s="483"/>
      <c r="Q1277" s="654"/>
      <c r="R1277" s="485"/>
      <c r="S1277" s="483"/>
      <c r="T1277" s="599" t="str">
        <f t="shared" si="1484"/>
        <v/>
      </c>
      <c r="V1277" s="631"/>
      <c r="W1277" s="471">
        <f t="shared" ref="W1277:X1277" si="1546">W1276</f>
        <v>50</v>
      </c>
      <c r="X1277" s="471" t="e">
        <f t="shared" si="1546"/>
        <v>#REF!</v>
      </c>
      <c r="Y1277" s="471" t="e">
        <f t="shared" si="1486"/>
        <v>#REF!</v>
      </c>
      <c r="Z1277" s="471"/>
      <c r="AA1277" s="471"/>
      <c r="AB1277" s="435"/>
    </row>
    <row r="1278" spans="1:40" s="599" customFormat="1" ht="15.75" customHeight="1" x14ac:dyDescent="0.15">
      <c r="A1278" s="473"/>
      <c r="B1278" s="473"/>
      <c r="C1278" s="746" t="str">
        <f>"   공      종 : "&amp;목록!D$56</f>
        <v xml:space="preserve">   공      종 : MONITOR BRACKET</v>
      </c>
      <c r="D1278" s="654"/>
      <c r="E1278" s="476"/>
      <c r="F1278" s="473"/>
      <c r="G1278" s="554"/>
      <c r="H1278" s="463" t="str">
        <f t="shared" si="1483"/>
        <v xml:space="preserve">   공      종 : MONITOR BRACKET</v>
      </c>
      <c r="I1278" s="479"/>
      <c r="J1278" s="488"/>
      <c r="K1278" s="481"/>
      <c r="L1278" s="482"/>
      <c r="M1278" s="482"/>
      <c r="N1278" s="482"/>
      <c r="O1278" s="466"/>
      <c r="P1278" s="483"/>
      <c r="Q1278" s="654"/>
      <c r="R1278" s="485"/>
      <c r="S1278" s="483"/>
      <c r="T1278" s="599" t="str">
        <f t="shared" si="1484"/>
        <v/>
      </c>
      <c r="U1278" s="473"/>
      <c r="W1278" s="471">
        <f t="shared" ref="W1278:X1278" si="1547">W1277</f>
        <v>50</v>
      </c>
      <c r="X1278" s="471" t="e">
        <f t="shared" si="1547"/>
        <v>#REF!</v>
      </c>
      <c r="Y1278" s="471" t="e">
        <f t="shared" si="1486"/>
        <v>#REF!</v>
      </c>
      <c r="Z1278" s="471"/>
      <c r="AA1278" s="471"/>
      <c r="AB1278" s="435"/>
      <c r="AC1278" s="473"/>
      <c r="AD1278" s="473"/>
      <c r="AE1278" s="473"/>
      <c r="AF1278" s="473"/>
      <c r="AG1278" s="473"/>
      <c r="AH1278" s="473"/>
      <c r="AI1278" s="473"/>
      <c r="AJ1278" s="473"/>
      <c r="AK1278" s="473"/>
      <c r="AL1278" s="473"/>
      <c r="AM1278" s="473"/>
      <c r="AN1278" s="473"/>
    </row>
    <row r="1279" spans="1:40" s="473" customFormat="1" ht="15.75" customHeight="1" x14ac:dyDescent="0.15">
      <c r="C1279" s="746" t="str">
        <f xml:space="preserve"> "   규      격 : "&amp;목록!F$56</f>
        <v xml:space="preserve">   규      격 : 벽부형, 대형</v>
      </c>
      <c r="D1279" s="654"/>
      <c r="E1279" s="476"/>
      <c r="G1279" s="554"/>
      <c r="H1279" s="463" t="str">
        <f t="shared" si="1483"/>
        <v xml:space="preserve">   규      격 : 벽부형, 대형</v>
      </c>
      <c r="I1279" s="479"/>
      <c r="J1279" s="488" t="s">
        <v>348</v>
      </c>
      <c r="K1279" s="481"/>
      <c r="L1279" s="482" t="s">
        <v>349</v>
      </c>
      <c r="M1279" s="482"/>
      <c r="N1279" s="482" t="s">
        <v>240</v>
      </c>
      <c r="O1279" s="466"/>
      <c r="P1279" s="483"/>
      <c r="Q1279" s="654" t="s">
        <v>764</v>
      </c>
      <c r="R1279" s="654"/>
      <c r="S1279" s="483"/>
      <c r="T1279" s="599" t="str">
        <f t="shared" si="1484"/>
        <v>합계</v>
      </c>
      <c r="V1279" s="599"/>
      <c r="W1279" s="471">
        <f t="shared" ref="W1279:X1279" si="1548">W1278</f>
        <v>50</v>
      </c>
      <c r="X1279" s="471" t="e">
        <f t="shared" si="1548"/>
        <v>#REF!</v>
      </c>
      <c r="Y1279" s="471" t="e">
        <f t="shared" si="1486"/>
        <v>#REF!</v>
      </c>
      <c r="Z1279" s="471"/>
      <c r="AA1279" s="471"/>
      <c r="AB1279" s="435"/>
    </row>
    <row r="1280" spans="1:40" s="473" customFormat="1" ht="15.75" customHeight="1" x14ac:dyDescent="0.15">
      <c r="C1280" s="746" t="str">
        <f>"   단      위 : "&amp;목록!G$56</f>
        <v xml:space="preserve">   단      위 : EA</v>
      </c>
      <c r="D1280" s="654"/>
      <c r="E1280" s="476"/>
      <c r="G1280" s="554"/>
      <c r="H1280" s="463" t="str">
        <f t="shared" si="1483"/>
        <v xml:space="preserve">   단      위 : EA</v>
      </c>
      <c r="I1280" s="479"/>
      <c r="J1280" s="489">
        <f>K1298</f>
        <v>220000</v>
      </c>
      <c r="K1280" s="481"/>
      <c r="L1280" s="487">
        <f>M1298</f>
        <v>141452</v>
      </c>
      <c r="M1280" s="482"/>
      <c r="N1280" s="482">
        <f>O1298</f>
        <v>0</v>
      </c>
      <c r="O1280" s="466"/>
      <c r="P1280" s="483"/>
      <c r="Q1280" s="488">
        <f>J1280+L1280+N1280</f>
        <v>361452</v>
      </c>
      <c r="R1280" s="489"/>
      <c r="S1280" s="483"/>
      <c r="T1280" s="599" t="str">
        <f t="shared" si="1484"/>
        <v>361452</v>
      </c>
      <c r="V1280" s="599"/>
      <c r="W1280" s="471">
        <f t="shared" ref="W1280:X1280" si="1549">W1279</f>
        <v>50</v>
      </c>
      <c r="X1280" s="471" t="e">
        <f t="shared" si="1549"/>
        <v>#REF!</v>
      </c>
      <c r="Y1280" s="471" t="e">
        <f t="shared" si="1486"/>
        <v>#REF!</v>
      </c>
      <c r="Z1280" s="471"/>
      <c r="AA1280" s="471"/>
      <c r="AB1280" s="435"/>
    </row>
    <row r="1281" spans="1:28" s="473" customFormat="1" ht="15.75" customHeight="1" x14ac:dyDescent="0.15">
      <c r="C1281" s="746"/>
      <c r="D1281" s="654"/>
      <c r="E1281" s="476"/>
      <c r="G1281" s="555"/>
      <c r="H1281" s="463" t="str">
        <f t="shared" si="1483"/>
        <v/>
      </c>
      <c r="I1281" s="491"/>
      <c r="J1281" s="482"/>
      <c r="K1281" s="465"/>
      <c r="L1281" s="482"/>
      <c r="M1281" s="482"/>
      <c r="N1281" s="482"/>
      <c r="O1281" s="466"/>
      <c r="P1281" s="492"/>
      <c r="Q1281" s="493"/>
      <c r="R1281" s="485"/>
      <c r="S1281" s="492"/>
      <c r="T1281" s="599" t="str">
        <f t="shared" si="1484"/>
        <v/>
      </c>
      <c r="V1281" s="599"/>
      <c r="W1281" s="471">
        <f t="shared" ref="W1281:X1281" si="1550">W1280</f>
        <v>50</v>
      </c>
      <c r="X1281" s="471" t="e">
        <f t="shared" si="1550"/>
        <v>#REF!</v>
      </c>
      <c r="Y1281" s="471" t="e">
        <f t="shared" si="1486"/>
        <v>#REF!</v>
      </c>
      <c r="Z1281" s="471"/>
      <c r="AA1281" s="471"/>
      <c r="AB1281" s="435"/>
    </row>
    <row r="1282" spans="1:28" s="473" customFormat="1" ht="15.75" customHeight="1" x14ac:dyDescent="0.15">
      <c r="B1282" s="899" t="s">
        <v>375</v>
      </c>
      <c r="C1282" s="900"/>
      <c r="D1282" s="907" t="s">
        <v>356</v>
      </c>
      <c r="E1282" s="908"/>
      <c r="F1282" s="903" t="s">
        <v>788</v>
      </c>
      <c r="G1282" s="911" t="s">
        <v>789</v>
      </c>
      <c r="H1282" s="463" t="str">
        <f t="shared" si="1483"/>
        <v>단위</v>
      </c>
      <c r="I1282" s="623"/>
      <c r="J1282" s="495" t="s">
        <v>348</v>
      </c>
      <c r="K1282" s="496"/>
      <c r="L1282" s="495" t="s">
        <v>349</v>
      </c>
      <c r="M1282" s="496"/>
      <c r="N1282" s="497" t="s">
        <v>240</v>
      </c>
      <c r="O1282" s="497"/>
      <c r="P1282" s="498"/>
      <c r="Q1282" s="862" t="s">
        <v>355</v>
      </c>
      <c r="R1282" s="862"/>
      <c r="S1282" s="499"/>
      <c r="T1282" s="599" t="str">
        <f t="shared" si="1484"/>
        <v>비  고</v>
      </c>
      <c r="V1282" s="599"/>
      <c r="W1282" s="471">
        <f t="shared" ref="W1282:X1282" si="1551">W1281</f>
        <v>50</v>
      </c>
      <c r="X1282" s="471" t="e">
        <f t="shared" si="1551"/>
        <v>#REF!</v>
      </c>
      <c r="Y1282" s="471" t="e">
        <f t="shared" si="1486"/>
        <v>#REF!</v>
      </c>
      <c r="Z1282" s="471"/>
      <c r="AA1282" s="471"/>
      <c r="AB1282" s="435"/>
    </row>
    <row r="1283" spans="1:28" s="473" customFormat="1" ht="15.75" customHeight="1" x14ac:dyDescent="0.15">
      <c r="B1283" s="901"/>
      <c r="C1283" s="902"/>
      <c r="D1283" s="909"/>
      <c r="E1283" s="910"/>
      <c r="F1283" s="904"/>
      <c r="G1283" s="912"/>
      <c r="H1283" s="463" t="str">
        <f t="shared" si="1483"/>
        <v/>
      </c>
      <c r="I1283" s="624"/>
      <c r="J1283" s="501" t="s">
        <v>353</v>
      </c>
      <c r="K1283" s="501" t="s">
        <v>354</v>
      </c>
      <c r="L1283" s="501" t="s">
        <v>353</v>
      </c>
      <c r="M1283" s="749" t="s">
        <v>354</v>
      </c>
      <c r="N1283" s="501" t="s">
        <v>353</v>
      </c>
      <c r="O1283" s="501" t="s">
        <v>354</v>
      </c>
      <c r="P1283" s="861"/>
      <c r="Q1283" s="863"/>
      <c r="R1283" s="863"/>
      <c r="S1283" s="504"/>
      <c r="T1283" s="599" t="str">
        <f t="shared" si="1484"/>
        <v/>
      </c>
      <c r="V1283" s="599"/>
      <c r="W1283" s="471">
        <f t="shared" ref="W1283:X1283" si="1552">W1282</f>
        <v>50</v>
      </c>
      <c r="X1283" s="471" t="e">
        <f t="shared" si="1552"/>
        <v>#REF!</v>
      </c>
      <c r="Y1283" s="471" t="e">
        <f t="shared" si="1486"/>
        <v>#REF!</v>
      </c>
      <c r="Z1283" s="471"/>
      <c r="AA1283" s="471"/>
      <c r="AB1283" s="435"/>
    </row>
    <row r="1284" spans="1:28" s="473" customFormat="1" ht="15.75" customHeight="1" x14ac:dyDescent="0.15">
      <c r="A1284" s="599"/>
      <c r="B1284" s="670"/>
      <c r="C1284" s="164" t="s">
        <v>1495</v>
      </c>
      <c r="D1284" s="165">
        <v>0</v>
      </c>
      <c r="E1284" s="164" t="s">
        <v>1496</v>
      </c>
      <c r="F1284" s="455" t="s">
        <v>352</v>
      </c>
      <c r="G1284" s="556">
        <v>1</v>
      </c>
      <c r="H1284" s="463" t="str">
        <f t="shared" si="1483"/>
        <v>MONITOR BRACKET벽부형, 대형EA</v>
      </c>
      <c r="I1284" s="671" t="str">
        <f>CONCATENATE(C1284,E1284,F1284)</f>
        <v>MONITOR BRACKET벽부형, 대형EA</v>
      </c>
      <c r="J1284" s="506">
        <f>IF(OR($F1284="인",$F1284=""),"",VLOOKUP($H1284,단가!$A:$S,19,FALSE))</f>
        <v>220000</v>
      </c>
      <c r="K1284" s="507">
        <f>IF(J1284="","",TRUNC($G1284*J1284,0))</f>
        <v>220000</v>
      </c>
      <c r="L1284" s="506" t="str">
        <f>IF($F1284="인",VLOOKUP($C:$C,노임!$C:$G,4,FALSE),"")</f>
        <v/>
      </c>
      <c r="M1284" s="507" t="str">
        <f>IF(L1284="","",TRUNC($G1284*L1284,0))</f>
        <v/>
      </c>
      <c r="N1284" s="507"/>
      <c r="O1284" s="507" t="str">
        <f>IF(N1284="","",TRUNC($G1284*N1284,0))</f>
        <v/>
      </c>
      <c r="P1284" s="508"/>
      <c r="Q1284" s="509" t="str">
        <f>IF(F1284="인","노임"&amp;VLOOKUP($C:$C,노임!C:G,5,FALSE)&amp;"번","단가"&amp;VLOOKUP($H:$H,단가!$A:$B,2,FALSE)&amp;"번")</f>
        <v>단가118번</v>
      </c>
      <c r="R1284" s="510"/>
      <c r="S1284" s="131"/>
      <c r="T1284" s="599" t="str">
        <f t="shared" si="1484"/>
        <v>단가118번</v>
      </c>
      <c r="V1284" s="631"/>
      <c r="W1284" s="471">
        <f t="shared" ref="W1284:X1284" si="1553">W1283</f>
        <v>50</v>
      </c>
      <c r="X1284" s="471" t="e">
        <f t="shared" si="1553"/>
        <v>#REF!</v>
      </c>
      <c r="Y1284" s="471" t="e">
        <f t="shared" si="1486"/>
        <v>#REF!</v>
      </c>
      <c r="Z1284" s="471"/>
      <c r="AA1284" s="471"/>
      <c r="AB1284" s="435"/>
    </row>
    <row r="1285" spans="1:28" s="473" customFormat="1" ht="15.75" customHeight="1" x14ac:dyDescent="0.15">
      <c r="A1285" s="599"/>
      <c r="B1285" s="670"/>
      <c r="C1285" s="164" t="s">
        <v>1505</v>
      </c>
      <c r="D1285" s="165"/>
      <c r="E1285" s="164" t="s">
        <v>1507</v>
      </c>
      <c r="F1285" s="455" t="s">
        <v>1506</v>
      </c>
      <c r="G1285" s="556">
        <v>0.11</v>
      </c>
      <c r="H1285" s="463" t="str">
        <f t="shared" si="1483"/>
        <v>통신관련산업기사설치인</v>
      </c>
      <c r="I1285" s="671" t="str">
        <f>CONCATENATE(C1285,E1285,F1285)</f>
        <v>통신관련산업기사설치인</v>
      </c>
      <c r="J1285" s="506" t="str">
        <f>IF(OR($F1285="인",$F1285=""),"",VLOOKUP($H1285,단가!$A:$S,19,FALSE))</f>
        <v/>
      </c>
      <c r="K1285" s="507" t="str">
        <f>IF(J1285="","",TRUNC($G1285*J1285,0))</f>
        <v/>
      </c>
      <c r="L1285" s="506">
        <f>IF($F1285="인",VLOOKUP($C:$C,노임!$C:$G,4,FALSE),"")</f>
        <v>203601</v>
      </c>
      <c r="M1285" s="507">
        <f>IF(L1285="","",TRUNC($G1285*L1285,0))</f>
        <v>22396</v>
      </c>
      <c r="N1285" s="507"/>
      <c r="O1285" s="507" t="str">
        <f>IF(N1285="","",TRUNC($G1285*N1285,0))</f>
        <v/>
      </c>
      <c r="P1285" s="508"/>
      <c r="Q1285" s="509" t="str">
        <f>IF(F1285="인","노임"&amp;VLOOKUP($C:$C,노임!C:G,5,FALSE)&amp;"번","단가"&amp;VLOOKUP($H:$H,단가!$A:$B,2,FALSE)&amp;"번")</f>
        <v>노임5002번</v>
      </c>
      <c r="R1285" s="510"/>
      <c r="S1285" s="131"/>
      <c r="T1285" s="599" t="str">
        <f t="shared" si="1484"/>
        <v>노임5002번</v>
      </c>
      <c r="V1285" s="631"/>
      <c r="W1285" s="471">
        <f t="shared" ref="W1285:X1285" si="1554">W1284</f>
        <v>50</v>
      </c>
      <c r="X1285" s="471" t="e">
        <f t="shared" si="1554"/>
        <v>#REF!</v>
      </c>
      <c r="Y1285" s="471" t="e">
        <f t="shared" si="1486"/>
        <v>#REF!</v>
      </c>
      <c r="Z1285" s="471"/>
      <c r="AA1285" s="471"/>
      <c r="AB1285" s="435"/>
    </row>
    <row r="1286" spans="1:28" s="473" customFormat="1" ht="15.75" customHeight="1" x14ac:dyDescent="0.15">
      <c r="A1286" s="599"/>
      <c r="B1286" s="670"/>
      <c r="C1286" s="164" t="s">
        <v>1508</v>
      </c>
      <c r="D1286" s="165"/>
      <c r="E1286" s="164" t="s">
        <v>1507</v>
      </c>
      <c r="F1286" s="455" t="s">
        <v>1506</v>
      </c>
      <c r="G1286" s="556">
        <v>0.11</v>
      </c>
      <c r="H1286" s="463" t="str">
        <f t="shared" si="1483"/>
        <v>통신설비공설치인</v>
      </c>
      <c r="I1286" s="671" t="str">
        <f>CONCATENATE(C1286,E1286,F1286)</f>
        <v>통신설비공설치인</v>
      </c>
      <c r="J1286" s="506" t="str">
        <f>IF(OR($F1286="인",$F1286=""),"",VLOOKUP($H1286,단가!$A:$S,19,FALSE))</f>
        <v/>
      </c>
      <c r="K1286" s="507" t="str">
        <f>IF(J1286="","",TRUNC($G1286*J1286,0))</f>
        <v/>
      </c>
      <c r="L1286" s="506">
        <f>IF($F1286="인",VLOOKUP($C:$C,노임!$C:$G,4,FALSE),"")</f>
        <v>193302</v>
      </c>
      <c r="M1286" s="507">
        <f>IF(L1286="","",TRUNC($G1286*L1286,0))</f>
        <v>21263</v>
      </c>
      <c r="N1286" s="507"/>
      <c r="O1286" s="507" t="str">
        <f>IF(N1286="","",TRUNC($G1286*N1286,0))</f>
        <v/>
      </c>
      <c r="P1286" s="508"/>
      <c r="Q1286" s="509" t="str">
        <f>IF(F1286="인","노임"&amp;VLOOKUP($C:$C,노임!C:G,5,FALSE)&amp;"번","단가"&amp;VLOOKUP($H:$H,단가!$A:$B,2,FALSE)&amp;"번")</f>
        <v>노임1087번</v>
      </c>
      <c r="R1286" s="510"/>
      <c r="S1286" s="131"/>
      <c r="T1286" s="599" t="str">
        <f t="shared" si="1484"/>
        <v>노임1087번</v>
      </c>
      <c r="V1286" s="631"/>
      <c r="W1286" s="471">
        <f t="shared" ref="W1286:X1286" si="1555">W1285</f>
        <v>50</v>
      </c>
      <c r="X1286" s="471" t="e">
        <f t="shared" si="1555"/>
        <v>#REF!</v>
      </c>
      <c r="Y1286" s="471" t="e">
        <f t="shared" si="1486"/>
        <v>#REF!</v>
      </c>
      <c r="Z1286" s="471"/>
      <c r="AA1286" s="471"/>
      <c r="AB1286" s="435"/>
    </row>
    <row r="1287" spans="1:28" s="473" customFormat="1" ht="15.75" customHeight="1" x14ac:dyDescent="0.15">
      <c r="A1287" s="599"/>
      <c r="B1287" s="670"/>
      <c r="C1287" s="164" t="s">
        <v>1510</v>
      </c>
      <c r="D1287" s="165"/>
      <c r="E1287" s="164" t="s">
        <v>1507</v>
      </c>
      <c r="F1287" s="455" t="s">
        <v>1506</v>
      </c>
      <c r="G1287" s="556">
        <v>0.4</v>
      </c>
      <c r="H1287" s="463" t="str">
        <f t="shared" ref="H1287:H1288" si="1556">CONCATENATE(C1287,E1287,F1287)</f>
        <v>플랜트기계설치공설치인</v>
      </c>
      <c r="I1287" s="671" t="str">
        <f t="shared" ref="I1287:I1288" si="1557">CONCATENATE(C1287,E1287,F1287)</f>
        <v>플랜트기계설치공설치인</v>
      </c>
      <c r="J1287" s="506" t="str">
        <f>IF(OR($F1287="인",$F1287=""),"",VLOOKUP($H1287,단가!$A:$S,19,FALSE))</f>
        <v/>
      </c>
      <c r="K1287" s="507" t="str">
        <f t="shared" ref="K1287:K1288" si="1558">IF(J1287="","",TRUNC($G1287*J1287,0))</f>
        <v/>
      </c>
      <c r="L1287" s="506">
        <f>IF($F1287="인",VLOOKUP($C:$C,노임!$C:$G,4,FALSE),"")</f>
        <v>215100</v>
      </c>
      <c r="M1287" s="507">
        <f t="shared" ref="M1287:M1288" si="1559">IF(L1287="","",TRUNC($G1287*L1287,0))</f>
        <v>86040</v>
      </c>
      <c r="N1287" s="507"/>
      <c r="O1287" s="507" t="str">
        <f t="shared" ref="O1287:O1288" si="1560">IF(N1287="","",TRUNC($G1287*N1287,0))</f>
        <v/>
      </c>
      <c r="P1287" s="508"/>
      <c r="Q1287" s="509" t="str">
        <f>IF(F1287="인","노임"&amp;VLOOKUP($C:$C,노임!C:G,5,FALSE)&amp;"번","단가"&amp;VLOOKUP($H:$H,단가!$A:$B,2,FALSE)&amp;"번")</f>
        <v>노임1060번</v>
      </c>
      <c r="R1287" s="510"/>
      <c r="S1287" s="131"/>
      <c r="T1287" s="599" t="str">
        <f t="shared" ref="T1287:T1288" si="1561">CONCATENATE(Q1287,R1287)</f>
        <v>노임1060번</v>
      </c>
      <c r="V1287" s="631"/>
      <c r="W1287" s="471">
        <f t="shared" ref="W1287:X1287" si="1562">W1286</f>
        <v>50</v>
      </c>
      <c r="X1287" s="471" t="e">
        <f t="shared" si="1562"/>
        <v>#REF!</v>
      </c>
      <c r="Y1287" s="471" t="e">
        <f t="shared" ref="Y1287:Y1288" si="1563">X1287-W1287</f>
        <v>#REF!</v>
      </c>
      <c r="Z1287" s="471"/>
      <c r="AA1287" s="471"/>
      <c r="AB1287" s="435"/>
    </row>
    <row r="1288" spans="1:28" s="473" customFormat="1" ht="15.75" customHeight="1" x14ac:dyDescent="0.15">
      <c r="A1288" s="599"/>
      <c r="B1288" s="670"/>
      <c r="C1288" s="164" t="s">
        <v>1511</v>
      </c>
      <c r="D1288" s="165"/>
      <c r="E1288" s="164" t="s">
        <v>1507</v>
      </c>
      <c r="F1288" s="455" t="s">
        <v>1506</v>
      </c>
      <c r="G1288" s="556">
        <v>0.11</v>
      </c>
      <c r="H1288" s="463" t="str">
        <f t="shared" si="1556"/>
        <v>보통인부설치인</v>
      </c>
      <c r="I1288" s="671" t="str">
        <f t="shared" si="1557"/>
        <v>보통인부설치인</v>
      </c>
      <c r="J1288" s="506" t="str">
        <f>IF(OR($F1288="인",$F1288=""),"",VLOOKUP($H1288,단가!$A:$S,19,FALSE))</f>
        <v/>
      </c>
      <c r="K1288" s="507" t="str">
        <f t="shared" si="1558"/>
        <v/>
      </c>
      <c r="L1288" s="506">
        <f>IF($F1288="인",VLOOKUP($C:$C,노임!$C:$G,4,FALSE),"")</f>
        <v>106846</v>
      </c>
      <c r="M1288" s="507">
        <f t="shared" si="1559"/>
        <v>11753</v>
      </c>
      <c r="N1288" s="507"/>
      <c r="O1288" s="507" t="str">
        <f t="shared" si="1560"/>
        <v/>
      </c>
      <c r="P1288" s="508"/>
      <c r="Q1288" s="509" t="str">
        <f>IF(F1288="인","노임"&amp;VLOOKUP($C:$C,노임!C:G,5,FALSE)&amp;"번","단가"&amp;VLOOKUP($H:$H,단가!$A:$B,2,FALSE)&amp;"번")</f>
        <v>노임1002번</v>
      </c>
      <c r="R1288" s="510"/>
      <c r="S1288" s="131"/>
      <c r="T1288" s="599" t="str">
        <f t="shared" si="1561"/>
        <v>노임1002번</v>
      </c>
      <c r="V1288" s="631"/>
      <c r="W1288" s="471">
        <f t="shared" ref="W1288:X1288" si="1564">W1287</f>
        <v>50</v>
      </c>
      <c r="X1288" s="471" t="e">
        <f t="shared" si="1564"/>
        <v>#REF!</v>
      </c>
      <c r="Y1288" s="471" t="e">
        <f t="shared" si="1563"/>
        <v>#REF!</v>
      </c>
      <c r="Z1288" s="471"/>
      <c r="AA1288" s="471"/>
      <c r="AB1288" s="435"/>
    </row>
    <row r="1289" spans="1:28" s="599" customFormat="1" ht="15.75" customHeight="1" x14ac:dyDescent="0.15">
      <c r="B1289" s="670"/>
      <c r="C1289" s="212"/>
      <c r="D1289" s="213"/>
      <c r="E1289" s="602"/>
      <c r="F1289" s="207"/>
      <c r="G1289" s="556"/>
      <c r="H1289" s="463" t="str">
        <f t="shared" si="1483"/>
        <v/>
      </c>
      <c r="I1289" s="671"/>
      <c r="J1289" s="506"/>
      <c r="K1289" s="507"/>
      <c r="L1289" s="506"/>
      <c r="M1289" s="507"/>
      <c r="N1289" s="507"/>
      <c r="O1289" s="507"/>
      <c r="P1289" s="508"/>
      <c r="Q1289" s="512"/>
      <c r="R1289" s="534"/>
      <c r="S1289" s="131"/>
      <c r="T1289" s="599" t="str">
        <f t="shared" si="1484"/>
        <v/>
      </c>
      <c r="V1289" s="549"/>
      <c r="W1289" s="471">
        <f t="shared" ref="W1289:X1289" si="1565">W1288</f>
        <v>50</v>
      </c>
      <c r="X1289" s="471" t="e">
        <f t="shared" si="1565"/>
        <v>#REF!</v>
      </c>
      <c r="Y1289" s="471" t="e">
        <f t="shared" si="1486"/>
        <v>#REF!</v>
      </c>
      <c r="Z1289" s="471"/>
      <c r="AA1289" s="471"/>
      <c r="AB1289" s="435"/>
    </row>
    <row r="1290" spans="1:28" s="599" customFormat="1" ht="15.75" customHeight="1" x14ac:dyDescent="0.15">
      <c r="B1290" s="670"/>
      <c r="C1290" s="140"/>
      <c r="D1290" s="670"/>
      <c r="E1290" s="643"/>
      <c r="F1290" s="207"/>
      <c r="G1290" s="556"/>
      <c r="H1290" s="463" t="str">
        <f t="shared" si="1483"/>
        <v/>
      </c>
      <c r="I1290" s="671"/>
      <c r="J1290" s="506"/>
      <c r="K1290" s="507"/>
      <c r="L1290" s="506"/>
      <c r="M1290" s="507"/>
      <c r="N1290" s="507"/>
      <c r="O1290" s="507"/>
      <c r="P1290" s="508"/>
      <c r="Q1290" s="512"/>
      <c r="R1290" s="534"/>
      <c r="S1290" s="131"/>
      <c r="T1290" s="599" t="str">
        <f t="shared" si="1484"/>
        <v/>
      </c>
      <c r="V1290" s="549"/>
      <c r="W1290" s="471">
        <f t="shared" ref="W1290:X1290" si="1566">W1289</f>
        <v>50</v>
      </c>
      <c r="X1290" s="471" t="e">
        <f t="shared" si="1566"/>
        <v>#REF!</v>
      </c>
      <c r="Y1290" s="471" t="e">
        <f t="shared" si="1486"/>
        <v>#REF!</v>
      </c>
      <c r="Z1290" s="471"/>
      <c r="AA1290" s="471"/>
      <c r="AB1290" s="435"/>
    </row>
    <row r="1291" spans="1:28" s="599" customFormat="1" ht="15.75" customHeight="1" x14ac:dyDescent="0.15">
      <c r="B1291" s="670"/>
      <c r="C1291" s="140"/>
      <c r="D1291" s="670"/>
      <c r="E1291" s="643"/>
      <c r="F1291" s="207"/>
      <c r="G1291" s="556"/>
      <c r="H1291" s="463" t="str">
        <f t="shared" si="1483"/>
        <v/>
      </c>
      <c r="I1291" s="671"/>
      <c r="J1291" s="506"/>
      <c r="K1291" s="507"/>
      <c r="L1291" s="506"/>
      <c r="M1291" s="507"/>
      <c r="N1291" s="507"/>
      <c r="O1291" s="507"/>
      <c r="P1291" s="508"/>
      <c r="Q1291" s="512"/>
      <c r="R1291" s="513"/>
      <c r="S1291" s="131"/>
      <c r="T1291" s="599" t="str">
        <f t="shared" si="1484"/>
        <v/>
      </c>
      <c r="V1291" s="549"/>
      <c r="W1291" s="471">
        <f t="shared" ref="W1291:X1291" si="1567">W1290</f>
        <v>50</v>
      </c>
      <c r="X1291" s="471" t="e">
        <f t="shared" si="1567"/>
        <v>#REF!</v>
      </c>
      <c r="Y1291" s="471" t="e">
        <f t="shared" si="1486"/>
        <v>#REF!</v>
      </c>
      <c r="Z1291" s="471"/>
      <c r="AA1291" s="471"/>
      <c r="AB1291" s="435"/>
    </row>
    <row r="1292" spans="1:28" s="599" customFormat="1" ht="15.75" customHeight="1" x14ac:dyDescent="0.15">
      <c r="B1292" s="670"/>
      <c r="C1292" s="140"/>
      <c r="D1292" s="670"/>
      <c r="E1292" s="643"/>
      <c r="F1292" s="207"/>
      <c r="G1292" s="556"/>
      <c r="H1292" s="463" t="str">
        <f t="shared" si="1483"/>
        <v/>
      </c>
      <c r="I1292" s="671"/>
      <c r="J1292" s="506"/>
      <c r="K1292" s="507"/>
      <c r="L1292" s="506"/>
      <c r="M1292" s="507"/>
      <c r="N1292" s="507"/>
      <c r="O1292" s="507"/>
      <c r="P1292" s="508"/>
      <c r="Q1292" s="512"/>
      <c r="R1292" s="534"/>
      <c r="S1292" s="131"/>
      <c r="T1292" s="599" t="str">
        <f t="shared" si="1484"/>
        <v/>
      </c>
      <c r="V1292" s="549"/>
      <c r="W1292" s="471">
        <f t="shared" ref="W1292:X1292" si="1568">W1291</f>
        <v>50</v>
      </c>
      <c r="X1292" s="471" t="e">
        <f t="shared" si="1568"/>
        <v>#REF!</v>
      </c>
      <c r="Y1292" s="471" t="e">
        <f t="shared" si="1486"/>
        <v>#REF!</v>
      </c>
      <c r="Z1292" s="471"/>
      <c r="AA1292" s="471"/>
      <c r="AB1292" s="435"/>
    </row>
    <row r="1293" spans="1:28" s="599" customFormat="1" ht="15.75" customHeight="1" x14ac:dyDescent="0.15">
      <c r="B1293" s="670"/>
      <c r="C1293" s="140"/>
      <c r="D1293" s="670"/>
      <c r="E1293" s="643"/>
      <c r="F1293" s="207"/>
      <c r="G1293" s="556"/>
      <c r="H1293" s="463" t="str">
        <f t="shared" si="1483"/>
        <v/>
      </c>
      <c r="I1293" s="671"/>
      <c r="J1293" s="506"/>
      <c r="K1293" s="507"/>
      <c r="L1293" s="506"/>
      <c r="M1293" s="507"/>
      <c r="N1293" s="507"/>
      <c r="O1293" s="507"/>
      <c r="P1293" s="508"/>
      <c r="Q1293" s="512"/>
      <c r="R1293" s="534"/>
      <c r="S1293" s="131"/>
      <c r="T1293" s="599" t="str">
        <f t="shared" si="1484"/>
        <v/>
      </c>
      <c r="V1293" s="549"/>
      <c r="W1293" s="471">
        <f t="shared" ref="W1293:X1293" si="1569">W1292</f>
        <v>50</v>
      </c>
      <c r="X1293" s="471" t="e">
        <f t="shared" si="1569"/>
        <v>#REF!</v>
      </c>
      <c r="Y1293" s="471" t="e">
        <f t="shared" si="1486"/>
        <v>#REF!</v>
      </c>
      <c r="Z1293" s="471"/>
      <c r="AA1293" s="471"/>
      <c r="AB1293" s="435"/>
    </row>
    <row r="1294" spans="1:28" s="599" customFormat="1" ht="15.75" customHeight="1" x14ac:dyDescent="0.15">
      <c r="B1294" s="670"/>
      <c r="C1294" s="140"/>
      <c r="D1294" s="670"/>
      <c r="E1294" s="643"/>
      <c r="F1294" s="207"/>
      <c r="G1294" s="556"/>
      <c r="H1294" s="463" t="str">
        <f t="shared" si="1483"/>
        <v/>
      </c>
      <c r="I1294" s="671"/>
      <c r="J1294" s="506"/>
      <c r="K1294" s="507"/>
      <c r="L1294" s="506"/>
      <c r="M1294" s="507"/>
      <c r="N1294" s="507"/>
      <c r="O1294" s="507"/>
      <c r="P1294" s="508"/>
      <c r="Q1294" s="512"/>
      <c r="R1294" s="513"/>
      <c r="S1294" s="131"/>
      <c r="T1294" s="599" t="str">
        <f t="shared" si="1484"/>
        <v/>
      </c>
      <c r="V1294" s="549"/>
      <c r="W1294" s="471">
        <f t="shared" ref="W1294:X1294" si="1570">W1293</f>
        <v>50</v>
      </c>
      <c r="X1294" s="471" t="e">
        <f t="shared" si="1570"/>
        <v>#REF!</v>
      </c>
      <c r="Y1294" s="471" t="e">
        <f t="shared" si="1486"/>
        <v>#REF!</v>
      </c>
      <c r="Z1294" s="471"/>
      <c r="AA1294" s="471"/>
      <c r="AB1294" s="435"/>
    </row>
    <row r="1295" spans="1:28" s="599" customFormat="1" ht="15.75" customHeight="1" x14ac:dyDescent="0.15">
      <c r="B1295" s="670"/>
      <c r="C1295" s="140"/>
      <c r="D1295" s="670"/>
      <c r="E1295" s="643"/>
      <c r="F1295" s="207"/>
      <c r="G1295" s="556"/>
      <c r="H1295" s="463" t="str">
        <f t="shared" si="1483"/>
        <v/>
      </c>
      <c r="I1295" s="671"/>
      <c r="J1295" s="506"/>
      <c r="K1295" s="507"/>
      <c r="L1295" s="506"/>
      <c r="M1295" s="507"/>
      <c r="N1295" s="507"/>
      <c r="O1295" s="507"/>
      <c r="P1295" s="508"/>
      <c r="Q1295" s="512"/>
      <c r="R1295" s="534"/>
      <c r="S1295" s="131"/>
      <c r="T1295" s="599" t="str">
        <f t="shared" si="1484"/>
        <v/>
      </c>
      <c r="V1295" s="549"/>
      <c r="W1295" s="471">
        <f t="shared" ref="W1295:X1295" si="1571">W1294</f>
        <v>50</v>
      </c>
      <c r="X1295" s="471" t="e">
        <f t="shared" si="1571"/>
        <v>#REF!</v>
      </c>
      <c r="Y1295" s="471" t="e">
        <f t="shared" si="1486"/>
        <v>#REF!</v>
      </c>
      <c r="Z1295" s="471"/>
      <c r="AA1295" s="471"/>
      <c r="AB1295" s="435"/>
    </row>
    <row r="1296" spans="1:28" s="599" customFormat="1" ht="15.75" customHeight="1" x14ac:dyDescent="0.15">
      <c r="B1296" s="670"/>
      <c r="C1296" s="140"/>
      <c r="D1296" s="670"/>
      <c r="E1296" s="643"/>
      <c r="F1296" s="207"/>
      <c r="G1296" s="556"/>
      <c r="H1296" s="463" t="str">
        <f t="shared" si="1483"/>
        <v/>
      </c>
      <c r="I1296" s="671"/>
      <c r="J1296" s="506"/>
      <c r="K1296" s="507"/>
      <c r="L1296" s="506"/>
      <c r="M1296" s="507"/>
      <c r="N1296" s="507"/>
      <c r="O1296" s="507"/>
      <c r="P1296" s="508"/>
      <c r="Q1296" s="512"/>
      <c r="R1296" s="534"/>
      <c r="S1296" s="131"/>
      <c r="T1296" s="599" t="str">
        <f t="shared" si="1484"/>
        <v/>
      </c>
      <c r="V1296" s="549"/>
      <c r="W1296" s="471">
        <f t="shared" ref="W1296:X1296" si="1572">W1295</f>
        <v>50</v>
      </c>
      <c r="X1296" s="471" t="e">
        <f t="shared" si="1572"/>
        <v>#REF!</v>
      </c>
      <c r="Y1296" s="471" t="e">
        <f t="shared" si="1486"/>
        <v>#REF!</v>
      </c>
      <c r="Z1296" s="471"/>
      <c r="AA1296" s="471"/>
      <c r="AB1296" s="435"/>
    </row>
    <row r="1297" spans="1:40" s="599" customFormat="1" ht="15.75" customHeight="1" x14ac:dyDescent="0.15">
      <c r="B1297" s="670"/>
      <c r="C1297" s="140"/>
      <c r="D1297" s="670"/>
      <c r="E1297" s="643"/>
      <c r="F1297" s="207"/>
      <c r="G1297" s="556"/>
      <c r="H1297" s="463" t="str">
        <f t="shared" si="1483"/>
        <v/>
      </c>
      <c r="I1297" s="671"/>
      <c r="J1297" s="506"/>
      <c r="K1297" s="507"/>
      <c r="L1297" s="506"/>
      <c r="M1297" s="507"/>
      <c r="N1297" s="507"/>
      <c r="O1297" s="507"/>
      <c r="P1297" s="508"/>
      <c r="Q1297" s="512"/>
      <c r="R1297" s="513"/>
      <c r="S1297" s="131"/>
      <c r="T1297" s="599" t="str">
        <f t="shared" si="1484"/>
        <v/>
      </c>
      <c r="V1297" s="549"/>
      <c r="W1297" s="471">
        <f t="shared" ref="W1297:X1297" si="1573">W1296</f>
        <v>50</v>
      </c>
      <c r="X1297" s="471" t="e">
        <f t="shared" si="1573"/>
        <v>#REF!</v>
      </c>
      <c r="Y1297" s="471" t="e">
        <f t="shared" si="1486"/>
        <v>#REF!</v>
      </c>
      <c r="Z1297" s="471"/>
      <c r="AA1297" s="471"/>
      <c r="AB1297" s="435"/>
    </row>
    <row r="1298" spans="1:40" s="599" customFormat="1" ht="15.75" customHeight="1" x14ac:dyDescent="0.15">
      <c r="B1298" s="514" t="s">
        <v>801</v>
      </c>
      <c r="C1298" s="515"/>
      <c r="D1298" s="516"/>
      <c r="E1298" s="517"/>
      <c r="F1298" s="518"/>
      <c r="G1298" s="557"/>
      <c r="H1298" s="463" t="str">
        <f t="shared" si="1483"/>
        <v/>
      </c>
      <c r="I1298" s="520">
        <f>목록!$B$56</f>
        <v>50</v>
      </c>
      <c r="J1298" s="521"/>
      <c r="K1298" s="522">
        <f>SUM(K1284:K1297)</f>
        <v>220000</v>
      </c>
      <c r="L1298" s="521"/>
      <c r="M1298" s="522">
        <f>SUM(M1284:M1297)</f>
        <v>141452</v>
      </c>
      <c r="N1298" s="521"/>
      <c r="O1298" s="522">
        <f>SUM(O1284:O1297)</f>
        <v>0</v>
      </c>
      <c r="P1298" s="523"/>
      <c r="Q1298" s="512"/>
      <c r="R1298" s="513"/>
      <c r="S1298" s="524"/>
      <c r="T1298" s="599" t="str">
        <f t="shared" si="1484"/>
        <v/>
      </c>
      <c r="V1298" s="549"/>
      <c r="W1298" s="471">
        <f t="shared" ref="W1298:X1298" si="1574">W1297</f>
        <v>50</v>
      </c>
      <c r="X1298" s="471" t="e">
        <f t="shared" si="1574"/>
        <v>#REF!</v>
      </c>
      <c r="Y1298" s="471" t="e">
        <f t="shared" si="1486"/>
        <v>#REF!</v>
      </c>
      <c r="Z1298" s="471"/>
      <c r="AA1298" s="471"/>
      <c r="AB1298" s="435"/>
    </row>
    <row r="1299" spans="1:40" s="599" customFormat="1" ht="15.75" customHeight="1" x14ac:dyDescent="0.15">
      <c r="B1299" s="453"/>
      <c r="C1299" s="630"/>
      <c r="D1299" s="670"/>
      <c r="E1299" s="643"/>
      <c r="F1299" s="207"/>
      <c r="G1299" s="556"/>
      <c r="H1299" s="463" t="str">
        <f t="shared" si="1483"/>
        <v/>
      </c>
      <c r="I1299" s="671"/>
      <c r="J1299" s="506"/>
      <c r="K1299" s="507"/>
      <c r="L1299" s="506"/>
      <c r="M1299" s="507"/>
      <c r="N1299" s="507"/>
      <c r="O1299" s="507"/>
      <c r="P1299" s="508"/>
      <c r="Q1299" s="512"/>
      <c r="R1299" s="513"/>
      <c r="S1299" s="131"/>
      <c r="T1299" s="599" t="str">
        <f t="shared" si="1484"/>
        <v/>
      </c>
      <c r="V1299" s="549"/>
      <c r="W1299" s="615">
        <f t="shared" ref="W1299:X1300" si="1575">W1298</f>
        <v>50</v>
      </c>
      <c r="X1299" s="471" t="e">
        <f t="shared" si="1575"/>
        <v>#REF!</v>
      </c>
      <c r="Y1299" s="471" t="e">
        <f t="shared" si="1486"/>
        <v>#REF!</v>
      </c>
      <c r="Z1299" s="471"/>
      <c r="AA1299" s="471"/>
      <c r="AB1299" s="435"/>
    </row>
    <row r="1300" spans="1:40" s="599" customFormat="1" ht="15.75" customHeight="1" x14ac:dyDescent="0.15">
      <c r="A1300" s="473"/>
      <c r="B1300" s="453"/>
      <c r="C1300" s="540" t="s">
        <v>1509</v>
      </c>
      <c r="D1300" s="670"/>
      <c r="E1300" s="643"/>
      <c r="F1300" s="207"/>
      <c r="G1300" s="556"/>
      <c r="H1300" s="463" t="str">
        <f t="shared" si="1483"/>
        <v>※ 정보통신표준품셈 7-11-5 방송 및 음향영상설비 부대공사 (행거(Hanger) 고정)</v>
      </c>
      <c r="I1300" s="671"/>
      <c r="J1300" s="506"/>
      <c r="K1300" s="507"/>
      <c r="L1300" s="506"/>
      <c r="M1300" s="507"/>
      <c r="N1300" s="507"/>
      <c r="O1300" s="507"/>
      <c r="P1300" s="508"/>
      <c r="Q1300" s="512"/>
      <c r="R1300" s="513"/>
      <c r="S1300" s="131"/>
      <c r="T1300" s="599" t="str">
        <f t="shared" si="1484"/>
        <v/>
      </c>
      <c r="V1300" s="631"/>
      <c r="W1300" s="471">
        <f t="shared" si="1575"/>
        <v>50</v>
      </c>
      <c r="X1300" s="471" t="e">
        <f t="shared" si="1575"/>
        <v>#REF!</v>
      </c>
      <c r="Y1300" s="471" t="e">
        <f t="shared" si="1486"/>
        <v>#REF!</v>
      </c>
      <c r="Z1300" s="471"/>
      <c r="AA1300" s="471"/>
      <c r="AB1300" s="435"/>
    </row>
    <row r="1301" spans="1:40" s="599" customFormat="1" ht="15.75" customHeight="1" x14ac:dyDescent="0.15">
      <c r="B1301" s="514"/>
      <c r="C1301" s="630"/>
      <c r="D1301" s="516"/>
      <c r="E1301" s="517"/>
      <c r="F1301" s="518"/>
      <c r="G1301" s="557"/>
      <c r="H1301" s="463" t="str">
        <f t="shared" si="1483"/>
        <v/>
      </c>
      <c r="I1301" s="520"/>
      <c r="J1301" s="521"/>
      <c r="K1301" s="522"/>
      <c r="L1301" s="521"/>
      <c r="M1301" s="522"/>
      <c r="N1301" s="521"/>
      <c r="O1301" s="522"/>
      <c r="P1301" s="523"/>
      <c r="Q1301" s="512"/>
      <c r="R1301" s="513"/>
      <c r="S1301" s="524"/>
      <c r="T1301" s="599" t="str">
        <f t="shared" si="1484"/>
        <v/>
      </c>
      <c r="U1301" s="473"/>
      <c r="W1301" s="471">
        <f t="shared" ref="W1301:X1301" si="1576">W1300</f>
        <v>50</v>
      </c>
      <c r="X1301" s="471" t="e">
        <f t="shared" si="1576"/>
        <v>#REF!</v>
      </c>
      <c r="Y1301" s="471" t="e">
        <f t="shared" si="1486"/>
        <v>#REF!</v>
      </c>
      <c r="Z1301" s="471"/>
      <c r="AA1301" s="471"/>
      <c r="AB1301" s="435"/>
      <c r="AC1301" s="473"/>
      <c r="AD1301" s="473"/>
      <c r="AE1301" s="473"/>
      <c r="AF1301" s="473"/>
      <c r="AG1301" s="473"/>
      <c r="AH1301" s="473"/>
      <c r="AI1301" s="473"/>
      <c r="AJ1301" s="473"/>
      <c r="AK1301" s="473"/>
      <c r="AL1301" s="473"/>
      <c r="AM1301" s="473"/>
      <c r="AN1301" s="473"/>
    </row>
    <row r="1302" spans="1:40" s="473" customFormat="1" ht="15.75" customHeight="1" x14ac:dyDescent="0.15">
      <c r="A1302" s="599"/>
      <c r="C1302" s="458"/>
      <c r="D1302" s="459"/>
      <c r="E1302" s="460"/>
      <c r="F1302" s="461"/>
      <c r="G1302" s="553"/>
      <c r="H1302" s="463" t="str">
        <f t="shared" ref="H1302:H1327" si="1577">CONCATENATE(C1302,E1302,F1302)</f>
        <v/>
      </c>
      <c r="I1302" s="464"/>
      <c r="J1302" s="465"/>
      <c r="K1302" s="465"/>
      <c r="L1302" s="465"/>
      <c r="M1302" s="465"/>
      <c r="N1302" s="465"/>
      <c r="O1302" s="466"/>
      <c r="P1302" s="467"/>
      <c r="Q1302" s="468"/>
      <c r="R1302" s="526"/>
      <c r="S1302" s="467"/>
      <c r="T1302" s="599" t="str">
        <f t="shared" ref="T1302:T1327" si="1578">CONCATENATE(Q1302,R1302)</f>
        <v/>
      </c>
      <c r="U1302" s="599"/>
      <c r="V1302" s="599"/>
      <c r="W1302" s="533">
        <f t="shared" ref="W1302" si="1579">I1324</f>
        <v>51</v>
      </c>
      <c r="X1302" s="533" t="e">
        <f>#REF!+1</f>
        <v>#REF!</v>
      </c>
      <c r="Y1302" s="533" t="e">
        <f t="shared" ref="Y1302:Y1327" si="1580">X1302-W1302</f>
        <v>#REF!</v>
      </c>
      <c r="Z1302" s="533"/>
      <c r="AA1302" s="533"/>
      <c r="AB1302" s="435"/>
      <c r="AC1302" s="599"/>
      <c r="AD1302" s="599"/>
      <c r="AE1302" s="599"/>
      <c r="AF1302" s="599"/>
      <c r="AG1302" s="599"/>
      <c r="AH1302" s="599"/>
      <c r="AI1302" s="599"/>
      <c r="AJ1302" s="599"/>
      <c r="AK1302" s="599"/>
      <c r="AL1302" s="599"/>
      <c r="AM1302" s="599"/>
      <c r="AN1302" s="599"/>
    </row>
    <row r="1303" spans="1:40" s="599" customFormat="1" ht="15.75" customHeight="1" x14ac:dyDescent="0.15">
      <c r="A1303" s="473"/>
      <c r="B1303" s="473"/>
      <c r="C1303" s="746" t="str">
        <f>"   항목번호 : "&amp;목록!L$57</f>
        <v xml:space="preserve">   항목번호 : 제51호표</v>
      </c>
      <c r="D1303" s="475">
        <f>목록!B$54</f>
        <v>48</v>
      </c>
      <c r="E1303" s="476"/>
      <c r="F1303" s="477"/>
      <c r="G1303" s="554"/>
      <c r="H1303" s="463" t="str">
        <f t="shared" si="1577"/>
        <v xml:space="preserve">   항목번호 : 제51호표</v>
      </c>
      <c r="I1303" s="479"/>
      <c r="J1303" s="488"/>
      <c r="K1303" s="481"/>
      <c r="L1303" s="482"/>
      <c r="M1303" s="482"/>
      <c r="N1303" s="482"/>
      <c r="O1303" s="466"/>
      <c r="P1303" s="483"/>
      <c r="Q1303" s="654"/>
      <c r="R1303" s="485"/>
      <c r="S1303" s="483"/>
      <c r="T1303" s="599" t="str">
        <f t="shared" si="1578"/>
        <v/>
      </c>
      <c r="V1303" s="631"/>
      <c r="W1303" s="471">
        <f t="shared" ref="W1303:X1303" si="1581">W1302</f>
        <v>51</v>
      </c>
      <c r="X1303" s="471" t="e">
        <f t="shared" si="1581"/>
        <v>#REF!</v>
      </c>
      <c r="Y1303" s="471" t="e">
        <f t="shared" si="1580"/>
        <v>#REF!</v>
      </c>
      <c r="Z1303" s="471"/>
      <c r="AA1303" s="471"/>
      <c r="AB1303" s="435"/>
    </row>
    <row r="1304" spans="1:40" s="599" customFormat="1" ht="15.75" customHeight="1" x14ac:dyDescent="0.15">
      <c r="A1304" s="473"/>
      <c r="B1304" s="473"/>
      <c r="C1304" s="746" t="str">
        <f>"   공      종 : "&amp;목록!D$57</f>
        <v xml:space="preserve">   공      종 : CONTROL COMPUTER</v>
      </c>
      <c r="D1304" s="654"/>
      <c r="E1304" s="476"/>
      <c r="F1304" s="473"/>
      <c r="G1304" s="554"/>
      <c r="H1304" s="463" t="str">
        <f t="shared" si="1577"/>
        <v xml:space="preserve">   공      종 : CONTROL COMPUTER</v>
      </c>
      <c r="I1304" s="479"/>
      <c r="J1304" s="488"/>
      <c r="K1304" s="481"/>
      <c r="L1304" s="482"/>
      <c r="M1304" s="482"/>
      <c r="N1304" s="482"/>
      <c r="O1304" s="466"/>
      <c r="P1304" s="483"/>
      <c r="Q1304" s="654"/>
      <c r="R1304" s="485"/>
      <c r="S1304" s="483"/>
      <c r="T1304" s="599" t="str">
        <f t="shared" si="1578"/>
        <v/>
      </c>
      <c r="U1304" s="473"/>
      <c r="W1304" s="471">
        <f t="shared" ref="W1304:X1304" si="1582">W1303</f>
        <v>51</v>
      </c>
      <c r="X1304" s="471" t="e">
        <f t="shared" si="1582"/>
        <v>#REF!</v>
      </c>
      <c r="Y1304" s="471" t="e">
        <f t="shared" si="1580"/>
        <v>#REF!</v>
      </c>
      <c r="Z1304" s="471"/>
      <c r="AA1304" s="471"/>
      <c r="AB1304" s="435"/>
      <c r="AC1304" s="473"/>
      <c r="AD1304" s="473"/>
      <c r="AE1304" s="473"/>
      <c r="AF1304" s="473"/>
      <c r="AG1304" s="473"/>
      <c r="AH1304" s="473"/>
      <c r="AI1304" s="473"/>
      <c r="AJ1304" s="473"/>
      <c r="AK1304" s="473"/>
      <c r="AL1304" s="473"/>
      <c r="AM1304" s="473"/>
      <c r="AN1304" s="473"/>
    </row>
    <row r="1305" spans="1:40" s="473" customFormat="1" ht="15.75" customHeight="1" x14ac:dyDescent="0.15">
      <c r="C1305" s="746" t="str">
        <f xml:space="preserve"> "   규      격 : "&amp;목록!F$57</f>
        <v xml:space="preserve">   규      격 : i7</v>
      </c>
      <c r="D1305" s="654"/>
      <c r="E1305" s="476"/>
      <c r="G1305" s="554"/>
      <c r="H1305" s="463" t="str">
        <f t="shared" si="1577"/>
        <v xml:space="preserve">   규      격 : i7</v>
      </c>
      <c r="I1305" s="479"/>
      <c r="J1305" s="488" t="s">
        <v>348</v>
      </c>
      <c r="K1305" s="481"/>
      <c r="L1305" s="482" t="s">
        <v>349</v>
      </c>
      <c r="M1305" s="482"/>
      <c r="N1305" s="482" t="s">
        <v>240</v>
      </c>
      <c r="O1305" s="466"/>
      <c r="P1305" s="483"/>
      <c r="Q1305" s="654" t="s">
        <v>764</v>
      </c>
      <c r="R1305" s="654"/>
      <c r="S1305" s="483"/>
      <c r="T1305" s="599" t="str">
        <f t="shared" si="1578"/>
        <v>합계</v>
      </c>
      <c r="V1305" s="599"/>
      <c r="W1305" s="471">
        <f t="shared" ref="W1305:X1305" si="1583">W1304</f>
        <v>51</v>
      </c>
      <c r="X1305" s="471" t="e">
        <f t="shared" si="1583"/>
        <v>#REF!</v>
      </c>
      <c r="Y1305" s="471" t="e">
        <f t="shared" si="1580"/>
        <v>#REF!</v>
      </c>
      <c r="Z1305" s="471"/>
      <c r="AA1305" s="471"/>
      <c r="AB1305" s="435"/>
    </row>
    <row r="1306" spans="1:40" s="473" customFormat="1" ht="15.75" customHeight="1" x14ac:dyDescent="0.15">
      <c r="C1306" s="746" t="str">
        <f>"   단      위 : "&amp;목록!G$57</f>
        <v xml:space="preserve">   단      위 : EA</v>
      </c>
      <c r="D1306" s="654"/>
      <c r="E1306" s="476"/>
      <c r="G1306" s="554"/>
      <c r="H1306" s="463" t="str">
        <f t="shared" si="1577"/>
        <v xml:space="preserve">   단      위 : EA</v>
      </c>
      <c r="I1306" s="479"/>
      <c r="J1306" s="489">
        <f>K1324</f>
        <v>950000</v>
      </c>
      <c r="K1306" s="481"/>
      <c r="L1306" s="487">
        <f>M1324</f>
        <v>55755</v>
      </c>
      <c r="M1306" s="482"/>
      <c r="N1306" s="482">
        <f>O1324</f>
        <v>0</v>
      </c>
      <c r="O1306" s="466"/>
      <c r="P1306" s="483"/>
      <c r="Q1306" s="488">
        <f>J1306+L1306+N1306</f>
        <v>1005755</v>
      </c>
      <c r="R1306" s="489"/>
      <c r="S1306" s="483"/>
      <c r="T1306" s="599" t="str">
        <f t="shared" si="1578"/>
        <v>1005755</v>
      </c>
      <c r="V1306" s="599"/>
      <c r="W1306" s="471">
        <f t="shared" ref="W1306:X1306" si="1584">W1305</f>
        <v>51</v>
      </c>
      <c r="X1306" s="471" t="e">
        <f t="shared" si="1584"/>
        <v>#REF!</v>
      </c>
      <c r="Y1306" s="471" t="e">
        <f t="shared" si="1580"/>
        <v>#REF!</v>
      </c>
      <c r="Z1306" s="471"/>
      <c r="AA1306" s="471"/>
      <c r="AB1306" s="435"/>
    </row>
    <row r="1307" spans="1:40" s="473" customFormat="1" ht="15.75" customHeight="1" x14ac:dyDescent="0.15">
      <c r="C1307" s="746"/>
      <c r="D1307" s="654"/>
      <c r="E1307" s="476"/>
      <c r="G1307" s="555"/>
      <c r="H1307" s="463" t="str">
        <f t="shared" si="1577"/>
        <v/>
      </c>
      <c r="I1307" s="491"/>
      <c r="J1307" s="482"/>
      <c r="K1307" s="465"/>
      <c r="L1307" s="482"/>
      <c r="M1307" s="482"/>
      <c r="N1307" s="482"/>
      <c r="O1307" s="466"/>
      <c r="P1307" s="492"/>
      <c r="Q1307" s="493"/>
      <c r="R1307" s="485"/>
      <c r="S1307" s="492"/>
      <c r="T1307" s="599" t="str">
        <f t="shared" si="1578"/>
        <v/>
      </c>
      <c r="V1307" s="599"/>
      <c r="W1307" s="471">
        <f t="shared" ref="W1307:X1307" si="1585">W1306</f>
        <v>51</v>
      </c>
      <c r="X1307" s="471" t="e">
        <f t="shared" si="1585"/>
        <v>#REF!</v>
      </c>
      <c r="Y1307" s="471" t="e">
        <f t="shared" si="1580"/>
        <v>#REF!</v>
      </c>
      <c r="Z1307" s="471"/>
      <c r="AA1307" s="471"/>
      <c r="AB1307" s="435"/>
    </row>
    <row r="1308" spans="1:40" s="473" customFormat="1" ht="15.75" customHeight="1" x14ac:dyDescent="0.15">
      <c r="B1308" s="899" t="s">
        <v>375</v>
      </c>
      <c r="C1308" s="900"/>
      <c r="D1308" s="907" t="s">
        <v>356</v>
      </c>
      <c r="E1308" s="908"/>
      <c r="F1308" s="903" t="s">
        <v>788</v>
      </c>
      <c r="G1308" s="911" t="s">
        <v>789</v>
      </c>
      <c r="H1308" s="463" t="str">
        <f t="shared" si="1577"/>
        <v>단위</v>
      </c>
      <c r="I1308" s="623"/>
      <c r="J1308" s="495" t="s">
        <v>348</v>
      </c>
      <c r="K1308" s="496"/>
      <c r="L1308" s="495" t="s">
        <v>349</v>
      </c>
      <c r="M1308" s="496"/>
      <c r="N1308" s="497" t="s">
        <v>240</v>
      </c>
      <c r="O1308" s="497"/>
      <c r="P1308" s="498"/>
      <c r="Q1308" s="862" t="s">
        <v>355</v>
      </c>
      <c r="R1308" s="862"/>
      <c r="S1308" s="499"/>
      <c r="T1308" s="599" t="str">
        <f t="shared" si="1578"/>
        <v>비  고</v>
      </c>
      <c r="V1308" s="599"/>
      <c r="W1308" s="471">
        <f t="shared" ref="W1308:X1308" si="1586">W1307</f>
        <v>51</v>
      </c>
      <c r="X1308" s="471" t="e">
        <f t="shared" si="1586"/>
        <v>#REF!</v>
      </c>
      <c r="Y1308" s="471" t="e">
        <f t="shared" si="1580"/>
        <v>#REF!</v>
      </c>
      <c r="Z1308" s="471"/>
      <c r="AA1308" s="471"/>
      <c r="AB1308" s="435"/>
    </row>
    <row r="1309" spans="1:40" s="473" customFormat="1" ht="15.75" customHeight="1" x14ac:dyDescent="0.15">
      <c r="B1309" s="901"/>
      <c r="C1309" s="902"/>
      <c r="D1309" s="909"/>
      <c r="E1309" s="910"/>
      <c r="F1309" s="904"/>
      <c r="G1309" s="912"/>
      <c r="H1309" s="463" t="str">
        <f t="shared" si="1577"/>
        <v/>
      </c>
      <c r="I1309" s="624"/>
      <c r="J1309" s="501" t="s">
        <v>353</v>
      </c>
      <c r="K1309" s="501" t="s">
        <v>354</v>
      </c>
      <c r="L1309" s="501" t="s">
        <v>353</v>
      </c>
      <c r="M1309" s="749" t="s">
        <v>354</v>
      </c>
      <c r="N1309" s="501" t="s">
        <v>353</v>
      </c>
      <c r="O1309" s="501" t="s">
        <v>354</v>
      </c>
      <c r="P1309" s="861"/>
      <c r="Q1309" s="863"/>
      <c r="R1309" s="863"/>
      <c r="S1309" s="504"/>
      <c r="T1309" s="599" t="str">
        <f t="shared" si="1578"/>
        <v/>
      </c>
      <c r="V1309" s="599"/>
      <c r="W1309" s="471">
        <f t="shared" ref="W1309:X1309" si="1587">W1308</f>
        <v>51</v>
      </c>
      <c r="X1309" s="471" t="e">
        <f t="shared" si="1587"/>
        <v>#REF!</v>
      </c>
      <c r="Y1309" s="471" t="e">
        <f t="shared" si="1580"/>
        <v>#REF!</v>
      </c>
      <c r="Z1309" s="471"/>
      <c r="AA1309" s="471"/>
      <c r="AB1309" s="435"/>
    </row>
    <row r="1310" spans="1:40" s="473" customFormat="1" ht="15.75" customHeight="1" x14ac:dyDescent="0.15">
      <c r="A1310" s="599"/>
      <c r="B1310" s="670"/>
      <c r="C1310" s="629" t="s">
        <v>1497</v>
      </c>
      <c r="D1310" s="670"/>
      <c r="E1310" s="629" t="s">
        <v>1498</v>
      </c>
      <c r="F1310" s="207" t="s">
        <v>352</v>
      </c>
      <c r="G1310" s="556">
        <v>1</v>
      </c>
      <c r="H1310" s="463" t="str">
        <f t="shared" si="1577"/>
        <v>CONTROL COMPUTERi7EA</v>
      </c>
      <c r="I1310" s="671" t="str">
        <f>CONCATENATE(C1310,E1310,F1310)</f>
        <v>CONTROL COMPUTERi7EA</v>
      </c>
      <c r="J1310" s="506">
        <f>IF(OR($F1310="인",$F1310=""),"",VLOOKUP($H1310,단가!$A:$S,19,FALSE))</f>
        <v>950000</v>
      </c>
      <c r="K1310" s="507">
        <f>IF(J1310="","",TRUNC($G1310*J1310,0))</f>
        <v>950000</v>
      </c>
      <c r="L1310" s="506" t="str">
        <f>IF($F1310="인",VLOOKUP($C:$C,노임!$C:$G,4,FALSE),"")</f>
        <v/>
      </c>
      <c r="M1310" s="507" t="str">
        <f>IF(L1310="","",TRUNC($G1310*L1310,0))</f>
        <v/>
      </c>
      <c r="N1310" s="507"/>
      <c r="O1310" s="507" t="str">
        <f>IF(N1310="","",TRUNC($G1310*N1310,0))</f>
        <v/>
      </c>
      <c r="P1310" s="508"/>
      <c r="Q1310" s="509" t="str">
        <f>IF(F1310="인","노임"&amp;VLOOKUP($C:$C,노임!C:G,5,FALSE)&amp;"번","단가"&amp;VLOOKUP($H:$H,단가!$A:$B,2,FALSE)&amp;"번")</f>
        <v>단가119번</v>
      </c>
      <c r="R1310" s="510"/>
      <c r="S1310" s="131"/>
      <c r="T1310" s="599" t="str">
        <f t="shared" si="1578"/>
        <v>단가119번</v>
      </c>
      <c r="V1310" s="631"/>
      <c r="W1310" s="471">
        <f t="shared" ref="W1310:X1312" si="1588">W1309</f>
        <v>51</v>
      </c>
      <c r="X1310" s="471" t="e">
        <f t="shared" si="1588"/>
        <v>#REF!</v>
      </c>
      <c r="Y1310" s="471" t="e">
        <f t="shared" si="1580"/>
        <v>#REF!</v>
      </c>
      <c r="Z1310" s="471"/>
      <c r="AA1310" s="471"/>
      <c r="AB1310" s="435"/>
    </row>
    <row r="1311" spans="1:40" s="473" customFormat="1" ht="15.75" customHeight="1" x14ac:dyDescent="0.15">
      <c r="A1311" s="599"/>
      <c r="B1311" s="670"/>
      <c r="C1311" s="164" t="s">
        <v>1508</v>
      </c>
      <c r="D1311" s="165"/>
      <c r="E1311" s="164" t="s">
        <v>1507</v>
      </c>
      <c r="F1311" s="455" t="s">
        <v>1506</v>
      </c>
      <c r="G1311" s="556">
        <v>0.2</v>
      </c>
      <c r="H1311" s="463" t="str">
        <f t="shared" si="1577"/>
        <v>통신설비공설치인</v>
      </c>
      <c r="I1311" s="671" t="str">
        <f>CONCATENATE(C1311,E1311,F1311)</f>
        <v>통신설비공설치인</v>
      </c>
      <c r="J1311" s="506" t="str">
        <f>IF(OR($F1311="인",$F1311=""),"",VLOOKUP($H1311,단가!$A:$S,19,FALSE))</f>
        <v/>
      </c>
      <c r="K1311" s="507" t="str">
        <f>IF(J1311="","",TRUNC($G1311*J1311,0))</f>
        <v/>
      </c>
      <c r="L1311" s="506">
        <f>IF($F1311="인",VLOOKUP($C:$C,노임!$C:$G,4,FALSE),"")</f>
        <v>193302</v>
      </c>
      <c r="M1311" s="507">
        <f>IF(L1311="","",TRUNC($G1311*L1311,0))</f>
        <v>38660</v>
      </c>
      <c r="N1311" s="507"/>
      <c r="O1311" s="507" t="str">
        <f>IF(N1311="","",TRUNC($G1311*N1311,0))</f>
        <v/>
      </c>
      <c r="P1311" s="508"/>
      <c r="Q1311" s="509" t="str">
        <f>IF(F1311="인","노임"&amp;VLOOKUP($C:$C,노임!C:G,5,FALSE)&amp;"번","단가"&amp;VLOOKUP($H:$H,단가!$A:$B,2,FALSE)&amp;"번")</f>
        <v>노임1087번</v>
      </c>
      <c r="R1311" s="510"/>
      <c r="S1311" s="131"/>
      <c r="T1311" s="599" t="str">
        <f t="shared" si="1578"/>
        <v>노임1087번</v>
      </c>
      <c r="V1311" s="631"/>
      <c r="W1311" s="471">
        <f t="shared" si="1588"/>
        <v>51</v>
      </c>
      <c r="X1311" s="471" t="e">
        <f t="shared" si="1588"/>
        <v>#REF!</v>
      </c>
      <c r="Y1311" s="471" t="e">
        <f t="shared" si="1580"/>
        <v>#REF!</v>
      </c>
      <c r="Z1311" s="471"/>
      <c r="AA1311" s="471"/>
      <c r="AB1311" s="435"/>
    </row>
    <row r="1312" spans="1:40" s="473" customFormat="1" ht="15.75" customHeight="1" x14ac:dyDescent="0.15">
      <c r="A1312" s="599"/>
      <c r="B1312" s="670"/>
      <c r="C1312" s="164" t="s">
        <v>1511</v>
      </c>
      <c r="D1312" s="165"/>
      <c r="E1312" s="164" t="s">
        <v>1507</v>
      </c>
      <c r="F1312" s="455" t="s">
        <v>1506</v>
      </c>
      <c r="G1312" s="556">
        <v>0.16</v>
      </c>
      <c r="H1312" s="463" t="str">
        <f t="shared" si="1577"/>
        <v>보통인부설치인</v>
      </c>
      <c r="I1312" s="671" t="str">
        <f>CONCATENATE(C1312,E1312,F1312)</f>
        <v>보통인부설치인</v>
      </c>
      <c r="J1312" s="506" t="str">
        <f>IF(OR($F1312="인",$F1312=""),"",VLOOKUP($H1312,단가!$A:$S,19,FALSE))</f>
        <v/>
      </c>
      <c r="K1312" s="507" t="str">
        <f>IF(J1312="","",TRUNC($G1312*J1312,0))</f>
        <v/>
      </c>
      <c r="L1312" s="506">
        <f>IF($F1312="인",VLOOKUP($C:$C,노임!$C:$G,4,FALSE),"")</f>
        <v>106846</v>
      </c>
      <c r="M1312" s="507">
        <f>IF(L1312="","",TRUNC($G1312*L1312,0))</f>
        <v>17095</v>
      </c>
      <c r="N1312" s="507"/>
      <c r="O1312" s="507" t="str">
        <f>IF(N1312="","",TRUNC($G1312*N1312,0))</f>
        <v/>
      </c>
      <c r="P1312" s="508"/>
      <c r="Q1312" s="509" t="str">
        <f>IF(F1312="인","노임"&amp;VLOOKUP($C:$C,노임!C:G,5,FALSE)&amp;"번","단가"&amp;VLOOKUP($H:$H,단가!$A:$B,2,FALSE)&amp;"번")</f>
        <v>노임1002번</v>
      </c>
      <c r="R1312" s="510"/>
      <c r="S1312" s="131"/>
      <c r="T1312" s="599" t="str">
        <f t="shared" si="1578"/>
        <v>노임1002번</v>
      </c>
      <c r="V1312" s="631"/>
      <c r="W1312" s="471">
        <f t="shared" si="1588"/>
        <v>51</v>
      </c>
      <c r="X1312" s="471" t="e">
        <f t="shared" si="1588"/>
        <v>#REF!</v>
      </c>
      <c r="Y1312" s="471" t="e">
        <f t="shared" si="1580"/>
        <v>#REF!</v>
      </c>
      <c r="Z1312" s="471"/>
      <c r="AA1312" s="471"/>
      <c r="AB1312" s="435"/>
    </row>
    <row r="1313" spans="1:40" s="473" customFormat="1" ht="15.75" customHeight="1" x14ac:dyDescent="0.15">
      <c r="A1313" s="599"/>
      <c r="B1313" s="670"/>
      <c r="C1313" s="140"/>
      <c r="D1313" s="670"/>
      <c r="E1313" s="643"/>
      <c r="F1313" s="207"/>
      <c r="G1313" s="556"/>
      <c r="H1313" s="463" t="str">
        <f t="shared" si="1577"/>
        <v/>
      </c>
      <c r="I1313" s="671"/>
      <c r="J1313" s="506"/>
      <c r="K1313" s="507"/>
      <c r="L1313" s="506"/>
      <c r="M1313" s="507"/>
      <c r="N1313" s="507"/>
      <c r="O1313" s="507"/>
      <c r="P1313" s="508"/>
      <c r="Q1313" s="512"/>
      <c r="R1313" s="534"/>
      <c r="S1313" s="131"/>
      <c r="T1313" s="599" t="str">
        <f t="shared" si="1578"/>
        <v/>
      </c>
      <c r="U1313" s="599"/>
      <c r="V1313" s="549"/>
      <c r="W1313" s="471">
        <f t="shared" ref="W1313:X1313" si="1589">W1312</f>
        <v>51</v>
      </c>
      <c r="X1313" s="471" t="e">
        <f t="shared" si="1589"/>
        <v>#REF!</v>
      </c>
      <c r="Y1313" s="471" t="e">
        <f t="shared" si="1580"/>
        <v>#REF!</v>
      </c>
      <c r="Z1313" s="471"/>
      <c r="AA1313" s="471"/>
      <c r="AB1313" s="435"/>
      <c r="AC1313" s="599"/>
      <c r="AD1313" s="599"/>
      <c r="AE1313" s="599"/>
      <c r="AF1313" s="599"/>
      <c r="AG1313" s="599"/>
      <c r="AH1313" s="599"/>
      <c r="AI1313" s="599"/>
      <c r="AJ1313" s="599"/>
      <c r="AK1313" s="599"/>
      <c r="AL1313" s="599"/>
      <c r="AM1313" s="599"/>
      <c r="AN1313" s="599"/>
    </row>
    <row r="1314" spans="1:40" s="599" customFormat="1" ht="15.75" customHeight="1" x14ac:dyDescent="0.15">
      <c r="B1314" s="670"/>
      <c r="C1314" s="212"/>
      <c r="D1314" s="213"/>
      <c r="E1314" s="602"/>
      <c r="F1314" s="207"/>
      <c r="G1314" s="556"/>
      <c r="H1314" s="463" t="str">
        <f t="shared" si="1577"/>
        <v/>
      </c>
      <c r="I1314" s="671"/>
      <c r="J1314" s="506"/>
      <c r="K1314" s="507"/>
      <c r="L1314" s="506"/>
      <c r="M1314" s="507"/>
      <c r="N1314" s="507"/>
      <c r="O1314" s="507"/>
      <c r="P1314" s="508"/>
      <c r="Q1314" s="512"/>
      <c r="R1314" s="534"/>
      <c r="S1314" s="131"/>
      <c r="T1314" s="599" t="str">
        <f t="shared" si="1578"/>
        <v/>
      </c>
      <c r="V1314" s="549"/>
      <c r="W1314" s="471">
        <f t="shared" ref="W1314:X1314" si="1590">W1313</f>
        <v>51</v>
      </c>
      <c r="X1314" s="471" t="e">
        <f t="shared" si="1590"/>
        <v>#REF!</v>
      </c>
      <c r="Y1314" s="471" t="e">
        <f t="shared" si="1580"/>
        <v>#REF!</v>
      </c>
      <c r="Z1314" s="471"/>
      <c r="AA1314" s="471"/>
      <c r="AB1314" s="435"/>
    </row>
    <row r="1315" spans="1:40" s="599" customFormat="1" ht="15.75" customHeight="1" x14ac:dyDescent="0.15">
      <c r="B1315" s="670"/>
      <c r="C1315" s="212"/>
      <c r="D1315" s="213"/>
      <c r="E1315" s="602"/>
      <c r="F1315" s="207"/>
      <c r="G1315" s="556"/>
      <c r="H1315" s="463" t="str">
        <f t="shared" si="1577"/>
        <v/>
      </c>
      <c r="I1315" s="671"/>
      <c r="J1315" s="506"/>
      <c r="K1315" s="507"/>
      <c r="L1315" s="506"/>
      <c r="M1315" s="507"/>
      <c r="N1315" s="507"/>
      <c r="O1315" s="507"/>
      <c r="P1315" s="508"/>
      <c r="Q1315" s="512"/>
      <c r="R1315" s="534"/>
      <c r="S1315" s="131"/>
      <c r="T1315" s="599" t="str">
        <f t="shared" si="1578"/>
        <v/>
      </c>
      <c r="V1315" s="549"/>
      <c r="W1315" s="471">
        <f t="shared" ref="W1315:X1315" si="1591">W1314</f>
        <v>51</v>
      </c>
      <c r="X1315" s="471" t="e">
        <f t="shared" si="1591"/>
        <v>#REF!</v>
      </c>
      <c r="Y1315" s="471" t="e">
        <f t="shared" si="1580"/>
        <v>#REF!</v>
      </c>
      <c r="Z1315" s="471"/>
      <c r="AA1315" s="471"/>
      <c r="AB1315" s="435"/>
    </row>
    <row r="1316" spans="1:40" s="599" customFormat="1" ht="15.75" customHeight="1" x14ac:dyDescent="0.15">
      <c r="B1316" s="670"/>
      <c r="C1316" s="140"/>
      <c r="D1316" s="670"/>
      <c r="E1316" s="643"/>
      <c r="F1316" s="207"/>
      <c r="G1316" s="556"/>
      <c r="H1316" s="463" t="str">
        <f t="shared" si="1577"/>
        <v/>
      </c>
      <c r="I1316" s="671"/>
      <c r="J1316" s="506"/>
      <c r="K1316" s="507"/>
      <c r="L1316" s="506"/>
      <c r="M1316" s="507"/>
      <c r="N1316" s="507"/>
      <c r="O1316" s="507"/>
      <c r="P1316" s="508"/>
      <c r="Q1316" s="512"/>
      <c r="R1316" s="534"/>
      <c r="S1316" s="131"/>
      <c r="T1316" s="599" t="str">
        <f t="shared" si="1578"/>
        <v/>
      </c>
      <c r="V1316" s="549"/>
      <c r="W1316" s="471">
        <f t="shared" ref="W1316:X1316" si="1592">W1315</f>
        <v>51</v>
      </c>
      <c r="X1316" s="471" t="e">
        <f t="shared" si="1592"/>
        <v>#REF!</v>
      </c>
      <c r="Y1316" s="471" t="e">
        <f t="shared" si="1580"/>
        <v>#REF!</v>
      </c>
      <c r="Z1316" s="471"/>
      <c r="AA1316" s="471"/>
      <c r="AB1316" s="435"/>
    </row>
    <row r="1317" spans="1:40" s="599" customFormat="1" ht="15.75" customHeight="1" x14ac:dyDescent="0.15">
      <c r="B1317" s="670"/>
      <c r="C1317" s="140"/>
      <c r="D1317" s="670"/>
      <c r="E1317" s="643"/>
      <c r="F1317" s="207"/>
      <c r="G1317" s="556"/>
      <c r="H1317" s="463" t="str">
        <f t="shared" si="1577"/>
        <v/>
      </c>
      <c r="I1317" s="671"/>
      <c r="J1317" s="506"/>
      <c r="K1317" s="507"/>
      <c r="L1317" s="506"/>
      <c r="M1317" s="507"/>
      <c r="N1317" s="507"/>
      <c r="O1317" s="507"/>
      <c r="P1317" s="508"/>
      <c r="Q1317" s="512"/>
      <c r="R1317" s="513"/>
      <c r="S1317" s="131"/>
      <c r="T1317" s="599" t="str">
        <f t="shared" si="1578"/>
        <v/>
      </c>
      <c r="V1317" s="549"/>
      <c r="W1317" s="471">
        <f t="shared" ref="W1317:X1317" si="1593">W1316</f>
        <v>51</v>
      </c>
      <c r="X1317" s="471" t="e">
        <f t="shared" si="1593"/>
        <v>#REF!</v>
      </c>
      <c r="Y1317" s="471" t="e">
        <f t="shared" si="1580"/>
        <v>#REF!</v>
      </c>
      <c r="Z1317" s="471"/>
      <c r="AA1317" s="471"/>
      <c r="AB1317" s="435"/>
    </row>
    <row r="1318" spans="1:40" s="599" customFormat="1" ht="15.75" customHeight="1" x14ac:dyDescent="0.15">
      <c r="B1318" s="670"/>
      <c r="C1318" s="140"/>
      <c r="D1318" s="670"/>
      <c r="E1318" s="643"/>
      <c r="F1318" s="207"/>
      <c r="G1318" s="556"/>
      <c r="H1318" s="463" t="str">
        <f t="shared" si="1577"/>
        <v/>
      </c>
      <c r="I1318" s="671"/>
      <c r="J1318" s="506"/>
      <c r="K1318" s="507"/>
      <c r="L1318" s="506"/>
      <c r="M1318" s="507"/>
      <c r="N1318" s="507"/>
      <c r="O1318" s="507"/>
      <c r="P1318" s="508"/>
      <c r="Q1318" s="512"/>
      <c r="R1318" s="534"/>
      <c r="S1318" s="131"/>
      <c r="T1318" s="599" t="str">
        <f t="shared" si="1578"/>
        <v/>
      </c>
      <c r="V1318" s="549"/>
      <c r="W1318" s="471">
        <f t="shared" ref="W1318:X1318" si="1594">W1317</f>
        <v>51</v>
      </c>
      <c r="X1318" s="471" t="e">
        <f t="shared" si="1594"/>
        <v>#REF!</v>
      </c>
      <c r="Y1318" s="471" t="e">
        <f t="shared" si="1580"/>
        <v>#REF!</v>
      </c>
      <c r="Z1318" s="471"/>
      <c r="AA1318" s="471"/>
      <c r="AB1318" s="435"/>
    </row>
    <row r="1319" spans="1:40" s="599" customFormat="1" ht="15.75" customHeight="1" x14ac:dyDescent="0.15">
      <c r="B1319" s="670"/>
      <c r="C1319" s="140"/>
      <c r="D1319" s="670"/>
      <c r="E1319" s="643"/>
      <c r="F1319" s="207"/>
      <c r="G1319" s="556"/>
      <c r="H1319" s="463" t="str">
        <f t="shared" si="1577"/>
        <v/>
      </c>
      <c r="I1319" s="671"/>
      <c r="J1319" s="506"/>
      <c r="K1319" s="507"/>
      <c r="L1319" s="506"/>
      <c r="M1319" s="507"/>
      <c r="N1319" s="507"/>
      <c r="O1319" s="507"/>
      <c r="P1319" s="508"/>
      <c r="Q1319" s="512"/>
      <c r="R1319" s="534"/>
      <c r="S1319" s="131"/>
      <c r="T1319" s="599" t="str">
        <f t="shared" si="1578"/>
        <v/>
      </c>
      <c r="V1319" s="549"/>
      <c r="W1319" s="471">
        <f t="shared" ref="W1319:X1319" si="1595">W1318</f>
        <v>51</v>
      </c>
      <c r="X1319" s="471" t="e">
        <f t="shared" si="1595"/>
        <v>#REF!</v>
      </c>
      <c r="Y1319" s="471" t="e">
        <f t="shared" si="1580"/>
        <v>#REF!</v>
      </c>
      <c r="Z1319" s="471"/>
      <c r="AA1319" s="471"/>
      <c r="AB1319" s="435"/>
    </row>
    <row r="1320" spans="1:40" s="599" customFormat="1" ht="15.75" customHeight="1" x14ac:dyDescent="0.15">
      <c r="B1320" s="670"/>
      <c r="C1320" s="140"/>
      <c r="D1320" s="670"/>
      <c r="E1320" s="643"/>
      <c r="F1320" s="207"/>
      <c r="G1320" s="556"/>
      <c r="H1320" s="463" t="str">
        <f t="shared" si="1577"/>
        <v/>
      </c>
      <c r="I1320" s="671"/>
      <c r="J1320" s="506"/>
      <c r="K1320" s="507"/>
      <c r="L1320" s="506"/>
      <c r="M1320" s="507"/>
      <c r="N1320" s="507"/>
      <c r="O1320" s="507"/>
      <c r="P1320" s="508"/>
      <c r="Q1320" s="512"/>
      <c r="R1320" s="513"/>
      <c r="S1320" s="131"/>
      <c r="T1320" s="599" t="str">
        <f t="shared" si="1578"/>
        <v/>
      </c>
      <c r="V1320" s="549"/>
      <c r="W1320" s="471">
        <f t="shared" ref="W1320:X1320" si="1596">W1319</f>
        <v>51</v>
      </c>
      <c r="X1320" s="471" t="e">
        <f t="shared" si="1596"/>
        <v>#REF!</v>
      </c>
      <c r="Y1320" s="471" t="e">
        <f t="shared" si="1580"/>
        <v>#REF!</v>
      </c>
      <c r="Z1320" s="471"/>
      <c r="AA1320" s="471"/>
      <c r="AB1320" s="435"/>
    </row>
    <row r="1321" spans="1:40" s="599" customFormat="1" ht="15.75" customHeight="1" x14ac:dyDescent="0.15">
      <c r="B1321" s="670"/>
      <c r="C1321" s="140"/>
      <c r="D1321" s="670"/>
      <c r="E1321" s="643"/>
      <c r="F1321" s="207"/>
      <c r="G1321" s="556"/>
      <c r="H1321" s="463" t="str">
        <f t="shared" si="1577"/>
        <v/>
      </c>
      <c r="I1321" s="671"/>
      <c r="J1321" s="506"/>
      <c r="K1321" s="507"/>
      <c r="L1321" s="506"/>
      <c r="M1321" s="507"/>
      <c r="N1321" s="507"/>
      <c r="O1321" s="507"/>
      <c r="P1321" s="508"/>
      <c r="Q1321" s="512"/>
      <c r="R1321" s="534"/>
      <c r="S1321" s="131"/>
      <c r="T1321" s="599" t="str">
        <f t="shared" si="1578"/>
        <v/>
      </c>
      <c r="V1321" s="549"/>
      <c r="W1321" s="471">
        <f t="shared" ref="W1321:X1321" si="1597">W1320</f>
        <v>51</v>
      </c>
      <c r="X1321" s="471" t="e">
        <f t="shared" si="1597"/>
        <v>#REF!</v>
      </c>
      <c r="Y1321" s="471" t="e">
        <f t="shared" si="1580"/>
        <v>#REF!</v>
      </c>
      <c r="Z1321" s="471"/>
      <c r="AA1321" s="471"/>
      <c r="AB1321" s="435"/>
    </row>
    <row r="1322" spans="1:40" s="599" customFormat="1" ht="15.75" customHeight="1" x14ac:dyDescent="0.15">
      <c r="B1322" s="670"/>
      <c r="C1322" s="140"/>
      <c r="D1322" s="670"/>
      <c r="E1322" s="643"/>
      <c r="F1322" s="207"/>
      <c r="G1322" s="556"/>
      <c r="H1322" s="463" t="str">
        <f t="shared" si="1577"/>
        <v/>
      </c>
      <c r="I1322" s="671"/>
      <c r="J1322" s="506"/>
      <c r="K1322" s="507"/>
      <c r="L1322" s="506"/>
      <c r="M1322" s="507"/>
      <c r="N1322" s="507"/>
      <c r="O1322" s="507"/>
      <c r="P1322" s="508"/>
      <c r="Q1322" s="512"/>
      <c r="R1322" s="534"/>
      <c r="S1322" s="131"/>
      <c r="T1322" s="599" t="str">
        <f t="shared" si="1578"/>
        <v/>
      </c>
      <c r="V1322" s="549"/>
      <c r="W1322" s="471">
        <f t="shared" ref="W1322:X1322" si="1598">W1321</f>
        <v>51</v>
      </c>
      <c r="X1322" s="471" t="e">
        <f t="shared" si="1598"/>
        <v>#REF!</v>
      </c>
      <c r="Y1322" s="471" t="e">
        <f t="shared" si="1580"/>
        <v>#REF!</v>
      </c>
      <c r="Z1322" s="471"/>
      <c r="AA1322" s="471"/>
      <c r="AB1322" s="435"/>
    </row>
    <row r="1323" spans="1:40" s="599" customFormat="1" ht="15.75" customHeight="1" x14ac:dyDescent="0.15">
      <c r="B1323" s="670"/>
      <c r="C1323" s="140"/>
      <c r="D1323" s="670"/>
      <c r="E1323" s="643"/>
      <c r="F1323" s="207"/>
      <c r="G1323" s="556"/>
      <c r="H1323" s="463" t="str">
        <f t="shared" si="1577"/>
        <v/>
      </c>
      <c r="I1323" s="671"/>
      <c r="J1323" s="506"/>
      <c r="K1323" s="507"/>
      <c r="L1323" s="506"/>
      <c r="M1323" s="507"/>
      <c r="N1323" s="507"/>
      <c r="O1323" s="507"/>
      <c r="P1323" s="508"/>
      <c r="Q1323" s="512"/>
      <c r="R1323" s="513"/>
      <c r="S1323" s="131"/>
      <c r="T1323" s="599" t="str">
        <f t="shared" si="1578"/>
        <v/>
      </c>
      <c r="V1323" s="549"/>
      <c r="W1323" s="471">
        <f t="shared" ref="W1323:X1323" si="1599">W1322</f>
        <v>51</v>
      </c>
      <c r="X1323" s="471" t="e">
        <f t="shared" si="1599"/>
        <v>#REF!</v>
      </c>
      <c r="Y1323" s="471" t="e">
        <f t="shared" si="1580"/>
        <v>#REF!</v>
      </c>
      <c r="Z1323" s="471"/>
      <c r="AA1323" s="471"/>
      <c r="AB1323" s="435"/>
    </row>
    <row r="1324" spans="1:40" s="599" customFormat="1" ht="15.75" customHeight="1" x14ac:dyDescent="0.15">
      <c r="B1324" s="514" t="s">
        <v>801</v>
      </c>
      <c r="C1324" s="515"/>
      <c r="D1324" s="516"/>
      <c r="E1324" s="517"/>
      <c r="F1324" s="518"/>
      <c r="G1324" s="557"/>
      <c r="H1324" s="463" t="str">
        <f t="shared" si="1577"/>
        <v/>
      </c>
      <c r="I1324" s="520">
        <f>목록!$B$57</f>
        <v>51</v>
      </c>
      <c r="J1324" s="521"/>
      <c r="K1324" s="522">
        <f>SUM(K1310:K1323)</f>
        <v>950000</v>
      </c>
      <c r="L1324" s="521"/>
      <c r="M1324" s="522">
        <f>SUM(M1310:M1323)</f>
        <v>55755</v>
      </c>
      <c r="N1324" s="521"/>
      <c r="O1324" s="522">
        <f>SUM(O1310:O1323)</f>
        <v>0</v>
      </c>
      <c r="P1324" s="523"/>
      <c r="Q1324" s="512"/>
      <c r="R1324" s="513"/>
      <c r="S1324" s="524"/>
      <c r="T1324" s="599" t="str">
        <f t="shared" si="1578"/>
        <v/>
      </c>
      <c r="V1324" s="549"/>
      <c r="W1324" s="471">
        <f t="shared" ref="W1324:X1324" si="1600">W1323</f>
        <v>51</v>
      </c>
      <c r="X1324" s="471" t="e">
        <f t="shared" si="1600"/>
        <v>#REF!</v>
      </c>
      <c r="Y1324" s="471" t="e">
        <f t="shared" si="1580"/>
        <v>#REF!</v>
      </c>
      <c r="Z1324" s="471"/>
      <c r="AA1324" s="471"/>
      <c r="AB1324" s="435"/>
    </row>
    <row r="1325" spans="1:40" s="599" customFormat="1" ht="15.75" customHeight="1" x14ac:dyDescent="0.15">
      <c r="B1325" s="453"/>
      <c r="C1325" s="630"/>
      <c r="D1325" s="670"/>
      <c r="E1325" s="643"/>
      <c r="F1325" s="207"/>
      <c r="G1325" s="556"/>
      <c r="H1325" s="463" t="str">
        <f t="shared" si="1577"/>
        <v/>
      </c>
      <c r="I1325" s="671"/>
      <c r="J1325" s="506"/>
      <c r="K1325" s="507"/>
      <c r="L1325" s="506"/>
      <c r="M1325" s="507"/>
      <c r="N1325" s="507"/>
      <c r="O1325" s="507"/>
      <c r="P1325" s="508"/>
      <c r="Q1325" s="512"/>
      <c r="R1325" s="513"/>
      <c r="S1325" s="131"/>
      <c r="T1325" s="599" t="str">
        <f t="shared" si="1578"/>
        <v/>
      </c>
      <c r="V1325" s="549"/>
      <c r="W1325" s="615">
        <f t="shared" ref="W1325:X1326" si="1601">W1324</f>
        <v>51</v>
      </c>
      <c r="X1325" s="471" t="e">
        <f t="shared" si="1601"/>
        <v>#REF!</v>
      </c>
      <c r="Y1325" s="471" t="e">
        <f t="shared" si="1580"/>
        <v>#REF!</v>
      </c>
      <c r="Z1325" s="471"/>
      <c r="AA1325" s="471"/>
      <c r="AB1325" s="435"/>
    </row>
    <row r="1326" spans="1:40" s="599" customFormat="1" ht="15.75" customHeight="1" x14ac:dyDescent="0.15">
      <c r="A1326" s="473"/>
      <c r="B1326" s="453"/>
      <c r="C1326" s="540" t="s">
        <v>1517</v>
      </c>
      <c r="D1326" s="670"/>
      <c r="E1326" s="643"/>
      <c r="F1326" s="207"/>
      <c r="G1326" s="556"/>
      <c r="H1326" s="463" t="str">
        <f t="shared" si="1577"/>
        <v>※ 정보통신표준품셈 8-1-1 네트워크 설비(공통) (단말기(PC)설치)</v>
      </c>
      <c r="I1326" s="671"/>
      <c r="J1326" s="506"/>
      <c r="K1326" s="507"/>
      <c r="L1326" s="506"/>
      <c r="M1326" s="507"/>
      <c r="N1326" s="507"/>
      <c r="O1326" s="507"/>
      <c r="P1326" s="508"/>
      <c r="Q1326" s="512"/>
      <c r="R1326" s="513"/>
      <c r="S1326" s="131"/>
      <c r="T1326" s="599" t="str">
        <f t="shared" si="1578"/>
        <v/>
      </c>
      <c r="V1326" s="631"/>
      <c r="W1326" s="471">
        <f t="shared" si="1601"/>
        <v>51</v>
      </c>
      <c r="X1326" s="471" t="e">
        <f t="shared" si="1601"/>
        <v>#REF!</v>
      </c>
      <c r="Y1326" s="471" t="e">
        <f t="shared" si="1580"/>
        <v>#REF!</v>
      </c>
      <c r="Z1326" s="471"/>
      <c r="AA1326" s="471"/>
      <c r="AB1326" s="435"/>
    </row>
    <row r="1327" spans="1:40" s="599" customFormat="1" ht="15.75" customHeight="1" x14ac:dyDescent="0.15">
      <c r="B1327" s="514"/>
      <c r="C1327" s="630"/>
      <c r="D1327" s="516"/>
      <c r="E1327" s="517"/>
      <c r="F1327" s="518"/>
      <c r="G1327" s="557"/>
      <c r="H1327" s="463" t="str">
        <f t="shared" si="1577"/>
        <v/>
      </c>
      <c r="I1327" s="520"/>
      <c r="J1327" s="521"/>
      <c r="K1327" s="522"/>
      <c r="L1327" s="521"/>
      <c r="M1327" s="522"/>
      <c r="N1327" s="521"/>
      <c r="O1327" s="522"/>
      <c r="P1327" s="523"/>
      <c r="Q1327" s="512"/>
      <c r="R1327" s="513"/>
      <c r="S1327" s="524"/>
      <c r="T1327" s="599" t="str">
        <f t="shared" si="1578"/>
        <v/>
      </c>
      <c r="U1327" s="473"/>
      <c r="W1327" s="471">
        <f t="shared" ref="W1327:X1327" si="1602">W1326</f>
        <v>51</v>
      </c>
      <c r="X1327" s="471" t="e">
        <f t="shared" si="1602"/>
        <v>#REF!</v>
      </c>
      <c r="Y1327" s="471" t="e">
        <f t="shared" si="1580"/>
        <v>#REF!</v>
      </c>
      <c r="Z1327" s="471"/>
      <c r="AA1327" s="471"/>
      <c r="AB1327" s="435"/>
      <c r="AC1327" s="473"/>
      <c r="AD1327" s="473"/>
      <c r="AE1327" s="473"/>
      <c r="AF1327" s="473"/>
      <c r="AG1327" s="473"/>
      <c r="AH1327" s="473"/>
      <c r="AI1327" s="473"/>
      <c r="AJ1327" s="473"/>
      <c r="AK1327" s="473"/>
      <c r="AL1327" s="473"/>
      <c r="AM1327" s="473"/>
      <c r="AN1327" s="473"/>
    </row>
    <row r="1328" spans="1:40" s="473" customFormat="1" ht="15.75" customHeight="1" x14ac:dyDescent="0.15">
      <c r="A1328" s="599"/>
      <c r="C1328" s="458"/>
      <c r="D1328" s="459"/>
      <c r="E1328" s="460"/>
      <c r="F1328" s="461"/>
      <c r="G1328" s="553"/>
      <c r="H1328" s="463" t="str">
        <f t="shared" ref="H1328:H1379" si="1603">CONCATENATE(C1328,E1328,F1328)</f>
        <v/>
      </c>
      <c r="I1328" s="464"/>
      <c r="J1328" s="465"/>
      <c r="K1328" s="465"/>
      <c r="L1328" s="465"/>
      <c r="M1328" s="465"/>
      <c r="N1328" s="465"/>
      <c r="O1328" s="466"/>
      <c r="P1328" s="467"/>
      <c r="Q1328" s="468"/>
      <c r="R1328" s="526"/>
      <c r="S1328" s="467"/>
      <c r="T1328" s="599" t="str">
        <f t="shared" ref="T1328:T1379" si="1604">CONCATENATE(Q1328,R1328)</f>
        <v/>
      </c>
      <c r="U1328" s="599"/>
      <c r="V1328" s="599"/>
      <c r="W1328" s="533">
        <f t="shared" ref="W1328" si="1605">I1350</f>
        <v>52</v>
      </c>
      <c r="X1328" s="533" t="e">
        <f>#REF!+1</f>
        <v>#REF!</v>
      </c>
      <c r="Y1328" s="533" t="e">
        <f t="shared" ref="Y1328:Y1379" si="1606">X1328-W1328</f>
        <v>#REF!</v>
      </c>
      <c r="Z1328" s="533"/>
      <c r="AA1328" s="533"/>
      <c r="AB1328" s="435"/>
      <c r="AC1328" s="599"/>
      <c r="AD1328" s="599"/>
      <c r="AE1328" s="599"/>
      <c r="AF1328" s="599"/>
      <c r="AG1328" s="599"/>
      <c r="AH1328" s="599"/>
      <c r="AI1328" s="599"/>
      <c r="AJ1328" s="599"/>
      <c r="AK1328" s="599"/>
      <c r="AL1328" s="599"/>
      <c r="AM1328" s="599"/>
      <c r="AN1328" s="599"/>
    </row>
    <row r="1329" spans="1:40" s="599" customFormat="1" ht="15.75" customHeight="1" x14ac:dyDescent="0.15">
      <c r="A1329" s="473"/>
      <c r="B1329" s="473"/>
      <c r="C1329" s="746" t="str">
        <f>"   항목번호 : "&amp;목록!L$58</f>
        <v xml:space="preserve">   항목번호 : 제52호표</v>
      </c>
      <c r="D1329" s="475">
        <f>목록!B$54</f>
        <v>48</v>
      </c>
      <c r="E1329" s="476"/>
      <c r="F1329" s="477"/>
      <c r="G1329" s="554"/>
      <c r="H1329" s="463" t="str">
        <f t="shared" si="1603"/>
        <v xml:space="preserve">   항목번호 : 제52호표</v>
      </c>
      <c r="I1329" s="479"/>
      <c r="J1329" s="488"/>
      <c r="K1329" s="481"/>
      <c r="L1329" s="482"/>
      <c r="M1329" s="482"/>
      <c r="N1329" s="482"/>
      <c r="O1329" s="466"/>
      <c r="P1329" s="483"/>
      <c r="Q1329" s="654"/>
      <c r="R1329" s="485"/>
      <c r="S1329" s="483"/>
      <c r="T1329" s="599" t="str">
        <f t="shared" si="1604"/>
        <v/>
      </c>
      <c r="V1329" s="631"/>
      <c r="W1329" s="471">
        <f t="shared" ref="W1329:X1329" si="1607">W1328</f>
        <v>52</v>
      </c>
      <c r="X1329" s="471" t="e">
        <f t="shared" si="1607"/>
        <v>#REF!</v>
      </c>
      <c r="Y1329" s="471" t="e">
        <f t="shared" si="1606"/>
        <v>#REF!</v>
      </c>
      <c r="Z1329" s="471"/>
      <c r="AA1329" s="471"/>
      <c r="AB1329" s="435"/>
    </row>
    <row r="1330" spans="1:40" s="599" customFormat="1" ht="15.75" customHeight="1" x14ac:dyDescent="0.15">
      <c r="A1330" s="473"/>
      <c r="B1330" s="473"/>
      <c r="C1330" s="746" t="str">
        <f>"   공      종 : "&amp;목록!D$58</f>
        <v xml:space="preserve">   공      종 : 순차전원공급기</v>
      </c>
      <c r="D1330" s="654"/>
      <c r="E1330" s="476"/>
      <c r="F1330" s="473"/>
      <c r="G1330" s="554"/>
      <c r="H1330" s="463" t="str">
        <f t="shared" si="1603"/>
        <v xml:space="preserve">   공      종 : 순차전원공급기</v>
      </c>
      <c r="I1330" s="479"/>
      <c r="J1330" s="488"/>
      <c r="K1330" s="481"/>
      <c r="L1330" s="482"/>
      <c r="M1330" s="482"/>
      <c r="N1330" s="482"/>
      <c r="O1330" s="466"/>
      <c r="P1330" s="483"/>
      <c r="Q1330" s="654"/>
      <c r="R1330" s="485"/>
      <c r="S1330" s="483"/>
      <c r="T1330" s="599" t="str">
        <f t="shared" si="1604"/>
        <v/>
      </c>
      <c r="U1330" s="473"/>
      <c r="W1330" s="471">
        <f t="shared" ref="W1330:X1330" si="1608">W1329</f>
        <v>52</v>
      </c>
      <c r="X1330" s="471" t="e">
        <f t="shared" si="1608"/>
        <v>#REF!</v>
      </c>
      <c r="Y1330" s="471" t="e">
        <f t="shared" si="1606"/>
        <v>#REF!</v>
      </c>
      <c r="Z1330" s="471"/>
      <c r="AA1330" s="471"/>
      <c r="AB1330" s="435"/>
      <c r="AC1330" s="473"/>
      <c r="AD1330" s="473"/>
      <c r="AE1330" s="473"/>
      <c r="AF1330" s="473"/>
      <c r="AG1330" s="473"/>
      <c r="AH1330" s="473"/>
      <c r="AI1330" s="473"/>
      <c r="AJ1330" s="473"/>
      <c r="AK1330" s="473"/>
      <c r="AL1330" s="473"/>
      <c r="AM1330" s="473"/>
      <c r="AN1330" s="473"/>
    </row>
    <row r="1331" spans="1:40" s="473" customFormat="1" ht="15.75" customHeight="1" x14ac:dyDescent="0.15">
      <c r="C1331" s="746" t="str">
        <f xml:space="preserve"> "   규      격 : "&amp;목록!F$58</f>
        <v xml:space="preserve">   규      격 : 8CH, NETWORK</v>
      </c>
      <c r="D1331" s="654"/>
      <c r="E1331" s="476"/>
      <c r="G1331" s="554"/>
      <c r="H1331" s="463" t="str">
        <f t="shared" si="1603"/>
        <v xml:space="preserve">   규      격 : 8CH, NETWORK</v>
      </c>
      <c r="I1331" s="479"/>
      <c r="J1331" s="488" t="s">
        <v>348</v>
      </c>
      <c r="K1331" s="481"/>
      <c r="L1331" s="482" t="s">
        <v>349</v>
      </c>
      <c r="M1331" s="482"/>
      <c r="N1331" s="482" t="s">
        <v>240</v>
      </c>
      <c r="O1331" s="466"/>
      <c r="P1331" s="483"/>
      <c r="Q1331" s="654" t="s">
        <v>764</v>
      </c>
      <c r="R1331" s="654"/>
      <c r="S1331" s="483"/>
      <c r="T1331" s="599" t="str">
        <f t="shared" si="1604"/>
        <v>합계</v>
      </c>
      <c r="V1331" s="599"/>
      <c r="W1331" s="471">
        <f t="shared" ref="W1331:X1331" si="1609">W1330</f>
        <v>52</v>
      </c>
      <c r="X1331" s="471" t="e">
        <f t="shared" si="1609"/>
        <v>#REF!</v>
      </c>
      <c r="Y1331" s="471" t="e">
        <f t="shared" si="1606"/>
        <v>#REF!</v>
      </c>
      <c r="Z1331" s="471"/>
      <c r="AA1331" s="471"/>
      <c r="AB1331" s="435"/>
    </row>
    <row r="1332" spans="1:40" s="473" customFormat="1" ht="15.75" customHeight="1" x14ac:dyDescent="0.15">
      <c r="C1332" s="746" t="str">
        <f>"   단      위 : "&amp;목록!G$58</f>
        <v xml:space="preserve">   단      위 : EA</v>
      </c>
      <c r="D1332" s="654"/>
      <c r="E1332" s="476"/>
      <c r="G1332" s="554"/>
      <c r="H1332" s="463" t="str">
        <f t="shared" si="1603"/>
        <v xml:space="preserve">   단      위 : EA</v>
      </c>
      <c r="I1332" s="479"/>
      <c r="J1332" s="489">
        <f>K1350</f>
        <v>420000</v>
      </c>
      <c r="K1332" s="481"/>
      <c r="L1332" s="487">
        <f>M1350</f>
        <v>183140</v>
      </c>
      <c r="M1332" s="482"/>
      <c r="N1332" s="482">
        <f>O1350</f>
        <v>0</v>
      </c>
      <c r="O1332" s="466"/>
      <c r="P1332" s="483"/>
      <c r="Q1332" s="488">
        <f>J1332+L1332+N1332</f>
        <v>603140</v>
      </c>
      <c r="R1332" s="489"/>
      <c r="S1332" s="483"/>
      <c r="T1332" s="599" t="str">
        <f t="shared" si="1604"/>
        <v>603140</v>
      </c>
      <c r="V1332" s="599"/>
      <c r="W1332" s="471">
        <f t="shared" ref="W1332:X1332" si="1610">W1331</f>
        <v>52</v>
      </c>
      <c r="X1332" s="471" t="e">
        <f t="shared" si="1610"/>
        <v>#REF!</v>
      </c>
      <c r="Y1332" s="471" t="e">
        <f t="shared" si="1606"/>
        <v>#REF!</v>
      </c>
      <c r="Z1332" s="471"/>
      <c r="AA1332" s="471"/>
      <c r="AB1332" s="435"/>
    </row>
    <row r="1333" spans="1:40" s="473" customFormat="1" ht="15.75" customHeight="1" x14ac:dyDescent="0.15">
      <c r="C1333" s="746"/>
      <c r="D1333" s="654"/>
      <c r="E1333" s="476"/>
      <c r="G1333" s="555"/>
      <c r="H1333" s="463" t="str">
        <f t="shared" si="1603"/>
        <v/>
      </c>
      <c r="I1333" s="491"/>
      <c r="J1333" s="482"/>
      <c r="K1333" s="465"/>
      <c r="L1333" s="482"/>
      <c r="M1333" s="482"/>
      <c r="N1333" s="482"/>
      <c r="O1333" s="466"/>
      <c r="P1333" s="492"/>
      <c r="Q1333" s="493"/>
      <c r="R1333" s="485"/>
      <c r="S1333" s="492"/>
      <c r="T1333" s="599" t="str">
        <f t="shared" si="1604"/>
        <v/>
      </c>
      <c r="V1333" s="599"/>
      <c r="W1333" s="471">
        <f t="shared" ref="W1333:X1333" si="1611">W1332</f>
        <v>52</v>
      </c>
      <c r="X1333" s="471" t="e">
        <f t="shared" si="1611"/>
        <v>#REF!</v>
      </c>
      <c r="Y1333" s="471" t="e">
        <f t="shared" si="1606"/>
        <v>#REF!</v>
      </c>
      <c r="Z1333" s="471"/>
      <c r="AA1333" s="471"/>
      <c r="AB1333" s="435"/>
    </row>
    <row r="1334" spans="1:40" s="473" customFormat="1" ht="15.75" customHeight="1" x14ac:dyDescent="0.15">
      <c r="B1334" s="899" t="s">
        <v>375</v>
      </c>
      <c r="C1334" s="900"/>
      <c r="D1334" s="907" t="s">
        <v>356</v>
      </c>
      <c r="E1334" s="908"/>
      <c r="F1334" s="903" t="s">
        <v>788</v>
      </c>
      <c r="G1334" s="911" t="s">
        <v>789</v>
      </c>
      <c r="H1334" s="463" t="str">
        <f t="shared" si="1603"/>
        <v>단위</v>
      </c>
      <c r="I1334" s="623"/>
      <c r="J1334" s="495" t="s">
        <v>348</v>
      </c>
      <c r="K1334" s="496"/>
      <c r="L1334" s="495" t="s">
        <v>349</v>
      </c>
      <c r="M1334" s="496"/>
      <c r="N1334" s="497" t="s">
        <v>240</v>
      </c>
      <c r="O1334" s="497"/>
      <c r="P1334" s="498"/>
      <c r="Q1334" s="862" t="s">
        <v>355</v>
      </c>
      <c r="R1334" s="862"/>
      <c r="S1334" s="499"/>
      <c r="T1334" s="599" t="str">
        <f t="shared" si="1604"/>
        <v>비  고</v>
      </c>
      <c r="V1334" s="599"/>
      <c r="W1334" s="471">
        <f t="shared" ref="W1334:X1334" si="1612">W1333</f>
        <v>52</v>
      </c>
      <c r="X1334" s="471" t="e">
        <f t="shared" si="1612"/>
        <v>#REF!</v>
      </c>
      <c r="Y1334" s="471" t="e">
        <f t="shared" si="1606"/>
        <v>#REF!</v>
      </c>
      <c r="Z1334" s="471"/>
      <c r="AA1334" s="471"/>
      <c r="AB1334" s="435"/>
    </row>
    <row r="1335" spans="1:40" s="473" customFormat="1" ht="15.75" customHeight="1" x14ac:dyDescent="0.15">
      <c r="B1335" s="901"/>
      <c r="C1335" s="902"/>
      <c r="D1335" s="909"/>
      <c r="E1335" s="910"/>
      <c r="F1335" s="904"/>
      <c r="G1335" s="912"/>
      <c r="H1335" s="463" t="str">
        <f t="shared" si="1603"/>
        <v/>
      </c>
      <c r="I1335" s="624"/>
      <c r="J1335" s="501" t="s">
        <v>353</v>
      </c>
      <c r="K1335" s="501" t="s">
        <v>354</v>
      </c>
      <c r="L1335" s="501" t="s">
        <v>353</v>
      </c>
      <c r="M1335" s="749" t="s">
        <v>354</v>
      </c>
      <c r="N1335" s="501" t="s">
        <v>353</v>
      </c>
      <c r="O1335" s="501" t="s">
        <v>354</v>
      </c>
      <c r="P1335" s="861"/>
      <c r="Q1335" s="863"/>
      <c r="R1335" s="863"/>
      <c r="S1335" s="504"/>
      <c r="T1335" s="599" t="str">
        <f t="shared" si="1604"/>
        <v/>
      </c>
      <c r="V1335" s="599"/>
      <c r="W1335" s="471">
        <f t="shared" ref="W1335:X1335" si="1613">W1334</f>
        <v>52</v>
      </c>
      <c r="X1335" s="471" t="e">
        <f t="shared" si="1613"/>
        <v>#REF!</v>
      </c>
      <c r="Y1335" s="471" t="e">
        <f t="shared" si="1606"/>
        <v>#REF!</v>
      </c>
      <c r="Z1335" s="471"/>
      <c r="AA1335" s="471"/>
      <c r="AB1335" s="435"/>
    </row>
    <row r="1336" spans="1:40" s="473" customFormat="1" ht="15.75" customHeight="1" x14ac:dyDescent="0.15">
      <c r="A1336" s="599"/>
      <c r="B1336" s="670"/>
      <c r="C1336" s="629" t="s">
        <v>1526</v>
      </c>
      <c r="D1336" s="670">
        <v>0</v>
      </c>
      <c r="E1336" s="629" t="s">
        <v>1531</v>
      </c>
      <c r="F1336" s="207" t="s">
        <v>352</v>
      </c>
      <c r="G1336" s="556">
        <v>1</v>
      </c>
      <c r="H1336" s="463" t="str">
        <f t="shared" si="1603"/>
        <v>순차전원공급기8CHEA</v>
      </c>
      <c r="I1336" s="671" t="str">
        <f>CONCATENATE(C1336,E1336,F1336)</f>
        <v>순차전원공급기8CHEA</v>
      </c>
      <c r="J1336" s="506">
        <f>IF(OR($F1336="인",$F1336=""),"",VLOOKUP($H1336,단가!$A:$S,19,FALSE))</f>
        <v>420000</v>
      </c>
      <c r="K1336" s="507">
        <f>IF(J1336="","",TRUNC($G1336*J1336,0))</f>
        <v>420000</v>
      </c>
      <c r="L1336" s="506" t="str">
        <f>IF($F1336="인",VLOOKUP($C:$C,노임!$C:$G,4,FALSE),"")</f>
        <v/>
      </c>
      <c r="M1336" s="507" t="str">
        <f>IF(L1336="","",TRUNC($G1336*L1336,0))</f>
        <v/>
      </c>
      <c r="N1336" s="507"/>
      <c r="O1336" s="507" t="str">
        <f>IF(N1336="","",TRUNC($G1336*N1336,0))</f>
        <v/>
      </c>
      <c r="P1336" s="508"/>
      <c r="Q1336" s="509" t="str">
        <f>IF(F1336="인","노임"&amp;VLOOKUP($C:$C,노임!C:G,5,FALSE)&amp;"번","단가"&amp;VLOOKUP($H:$H,단가!$A:$B,2,FALSE)&amp;"번")</f>
        <v>단가120번</v>
      </c>
      <c r="R1336" s="510"/>
      <c r="S1336" s="131"/>
      <c r="T1336" s="599" t="str">
        <f t="shared" si="1604"/>
        <v>단가120번</v>
      </c>
      <c r="V1336" s="631"/>
      <c r="W1336" s="471">
        <f t="shared" ref="W1336:X1336" si="1614">W1335</f>
        <v>52</v>
      </c>
      <c r="X1336" s="471" t="e">
        <f t="shared" si="1614"/>
        <v>#REF!</v>
      </c>
      <c r="Y1336" s="471" t="e">
        <f t="shared" si="1606"/>
        <v>#REF!</v>
      </c>
      <c r="Z1336" s="471"/>
      <c r="AA1336" s="471"/>
      <c r="AB1336" s="435"/>
    </row>
    <row r="1337" spans="1:40" s="473" customFormat="1" ht="15.75" customHeight="1" x14ac:dyDescent="0.15">
      <c r="A1337" s="599"/>
      <c r="B1337" s="670"/>
      <c r="C1337" s="164" t="s">
        <v>1505</v>
      </c>
      <c r="D1337" s="165"/>
      <c r="E1337" s="164" t="s">
        <v>1507</v>
      </c>
      <c r="F1337" s="455" t="s">
        <v>1506</v>
      </c>
      <c r="G1337" s="556">
        <v>0.23</v>
      </c>
      <c r="H1337" s="463" t="str">
        <f t="shared" ref="H1337:H1341" si="1615">CONCATENATE(C1337,E1337,F1337)</f>
        <v>통신관련산업기사설치인</v>
      </c>
      <c r="I1337" s="671" t="str">
        <f>CONCATENATE(C1337,E1337,F1337)</f>
        <v>통신관련산업기사설치인</v>
      </c>
      <c r="J1337" s="506" t="str">
        <f>IF(OR($F1337="인",$F1337=""),"",VLOOKUP($H1337,단가!$A:$S,19,FALSE))</f>
        <v/>
      </c>
      <c r="K1337" s="507" t="str">
        <f>IF(J1337="","",TRUNC($G1337*J1337,0))</f>
        <v/>
      </c>
      <c r="L1337" s="506">
        <f>IF($F1337="인",VLOOKUP($C:$C,노임!$C:$G,4,FALSE),"")</f>
        <v>203601</v>
      </c>
      <c r="M1337" s="507">
        <f>IF(L1337="","",TRUNC($G1337*L1337,0))</f>
        <v>46828</v>
      </c>
      <c r="N1337" s="507"/>
      <c r="O1337" s="507" t="str">
        <f>IF(N1337="","",TRUNC($G1337*N1337,0))</f>
        <v/>
      </c>
      <c r="P1337" s="508"/>
      <c r="Q1337" s="509" t="str">
        <f>IF(F1337="인","노임"&amp;VLOOKUP($C:$C,노임!C:G,5,FALSE)&amp;"번","단가"&amp;VLOOKUP($H:$H,단가!$A:$B,2,FALSE)&amp;"번")</f>
        <v>노임5002번</v>
      </c>
      <c r="R1337" s="510"/>
      <c r="S1337" s="131"/>
      <c r="T1337" s="599" t="str">
        <f t="shared" ref="T1337:T1341" si="1616">CONCATENATE(Q1337,R1337)</f>
        <v>노임5002번</v>
      </c>
      <c r="V1337" s="631"/>
      <c r="W1337" s="471">
        <f t="shared" ref="W1337:X1337" si="1617">W1336</f>
        <v>52</v>
      </c>
      <c r="X1337" s="471" t="e">
        <f t="shared" si="1617"/>
        <v>#REF!</v>
      </c>
      <c r="Y1337" s="471" t="e">
        <f t="shared" ref="Y1337:Y1341" si="1618">X1337-W1337</f>
        <v>#REF!</v>
      </c>
      <c r="Z1337" s="471"/>
      <c r="AA1337" s="471"/>
      <c r="AB1337" s="435"/>
    </row>
    <row r="1338" spans="1:40" s="473" customFormat="1" ht="15.75" customHeight="1" x14ac:dyDescent="0.15">
      <c r="A1338" s="599"/>
      <c r="B1338" s="670"/>
      <c r="C1338" s="164" t="s">
        <v>1508</v>
      </c>
      <c r="D1338" s="165"/>
      <c r="E1338" s="164" t="s">
        <v>1507</v>
      </c>
      <c r="F1338" s="455" t="s">
        <v>1506</v>
      </c>
      <c r="G1338" s="556">
        <v>0.23</v>
      </c>
      <c r="H1338" s="463" t="str">
        <f t="shared" ref="H1338:H1339" si="1619">CONCATENATE(C1338,E1338,F1338)</f>
        <v>통신설비공설치인</v>
      </c>
      <c r="I1338" s="671" t="str">
        <f t="shared" ref="I1338:I1339" si="1620">CONCATENATE(C1338,E1338,F1338)</f>
        <v>통신설비공설치인</v>
      </c>
      <c r="J1338" s="506" t="str">
        <f>IF(OR($F1338="인",$F1338=""),"",VLOOKUP($H1338,단가!$A:$S,19,FALSE))</f>
        <v/>
      </c>
      <c r="K1338" s="507" t="str">
        <f t="shared" ref="K1338:K1340" si="1621">IF(J1338="","",TRUNC($G1338*J1338,0))</f>
        <v/>
      </c>
      <c r="L1338" s="506">
        <f>IF($F1338="인",VLOOKUP($C:$C,노임!$C:$G,4,FALSE),"")</f>
        <v>193302</v>
      </c>
      <c r="M1338" s="507">
        <f t="shared" ref="M1338:M1340" si="1622">IF(L1338="","",TRUNC($G1338*L1338,0))</f>
        <v>44459</v>
      </c>
      <c r="N1338" s="507"/>
      <c r="O1338" s="507" t="str">
        <f t="shared" ref="O1338:O1340" si="1623">IF(N1338="","",TRUNC($G1338*N1338,0))</f>
        <v/>
      </c>
      <c r="P1338" s="508"/>
      <c r="Q1338" s="509" t="str">
        <f>IF(F1338="인","노임"&amp;VLOOKUP($C:$C,노임!C:G,5,FALSE)&amp;"번","단가"&amp;VLOOKUP($H:$H,단가!$A:$B,2,FALSE)&amp;"번")</f>
        <v>노임1087번</v>
      </c>
      <c r="R1338" s="510"/>
      <c r="S1338" s="131"/>
      <c r="T1338" s="599" t="str">
        <f t="shared" ref="T1338:T1339" si="1624">CONCATENATE(Q1338,R1338)</f>
        <v>노임1087번</v>
      </c>
      <c r="V1338" s="631"/>
      <c r="W1338" s="471">
        <f t="shared" ref="W1338:X1340" si="1625">W1337</f>
        <v>52</v>
      </c>
      <c r="X1338" s="471" t="e">
        <f t="shared" si="1625"/>
        <v>#REF!</v>
      </c>
      <c r="Y1338" s="471" t="e">
        <f t="shared" ref="Y1338:Y1339" si="1626">X1338-W1338</f>
        <v>#REF!</v>
      </c>
      <c r="Z1338" s="471"/>
      <c r="AA1338" s="471"/>
      <c r="AB1338" s="435"/>
    </row>
    <row r="1339" spans="1:40" s="473" customFormat="1" ht="15.75" customHeight="1" x14ac:dyDescent="0.15">
      <c r="A1339" s="599"/>
      <c r="B1339" s="670"/>
      <c r="C1339" s="164" t="s">
        <v>1513</v>
      </c>
      <c r="D1339" s="165"/>
      <c r="E1339" s="164" t="s">
        <v>1536</v>
      </c>
      <c r="F1339" s="455" t="s">
        <v>1506</v>
      </c>
      <c r="G1339" s="556">
        <v>0.22</v>
      </c>
      <c r="H1339" s="463" t="str">
        <f t="shared" si="1619"/>
        <v>통신관련기사시험 및 점검인</v>
      </c>
      <c r="I1339" s="671" t="str">
        <f t="shared" si="1620"/>
        <v>통신관련기사시험 및 점검인</v>
      </c>
      <c r="J1339" s="506" t="str">
        <f>IF(OR($F1339="인",$F1339=""),"",VLOOKUP($H1339,단가!$A:$S,19,FALSE))</f>
        <v/>
      </c>
      <c r="K1339" s="507" t="str">
        <f t="shared" si="1621"/>
        <v/>
      </c>
      <c r="L1339" s="506">
        <f>IF($F1339="인",VLOOKUP($C:$C,노임!$C:$G,4,FALSE),"")</f>
        <v>224214</v>
      </c>
      <c r="M1339" s="507">
        <f t="shared" si="1622"/>
        <v>49327</v>
      </c>
      <c r="N1339" s="507"/>
      <c r="O1339" s="507" t="str">
        <f t="shared" si="1623"/>
        <v/>
      </c>
      <c r="P1339" s="508"/>
      <c r="Q1339" s="509" t="str">
        <f>IF(F1339="인","노임"&amp;VLOOKUP($C:$C,노임!C:G,5,FALSE)&amp;"번","단가"&amp;VLOOKUP($H:$H,단가!$A:$B,2,FALSE)&amp;"번")</f>
        <v>노임5001번</v>
      </c>
      <c r="R1339" s="510"/>
      <c r="S1339" s="131"/>
      <c r="T1339" s="599" t="str">
        <f t="shared" si="1624"/>
        <v>노임5001번</v>
      </c>
      <c r="V1339" s="631"/>
      <c r="W1339" s="471">
        <f t="shared" ref="W1339:X1339" si="1627">W1338</f>
        <v>52</v>
      </c>
      <c r="X1339" s="471" t="e">
        <f t="shared" si="1627"/>
        <v>#REF!</v>
      </c>
      <c r="Y1339" s="471" t="e">
        <f t="shared" si="1626"/>
        <v>#REF!</v>
      </c>
      <c r="Z1339" s="471"/>
      <c r="AA1339" s="471"/>
      <c r="AB1339" s="435"/>
    </row>
    <row r="1340" spans="1:40" s="473" customFormat="1" ht="15.75" customHeight="1" x14ac:dyDescent="0.15">
      <c r="A1340" s="599"/>
      <c r="B1340" s="670"/>
      <c r="C1340" s="164" t="s">
        <v>1508</v>
      </c>
      <c r="D1340" s="165"/>
      <c r="E1340" s="164" t="s">
        <v>1536</v>
      </c>
      <c r="F1340" s="455" t="s">
        <v>1506</v>
      </c>
      <c r="G1340" s="556">
        <v>0.22</v>
      </c>
      <c r="H1340" s="463" t="str">
        <f t="shared" ref="H1340" si="1628">CONCATENATE(C1340,E1340,F1340)</f>
        <v>통신설비공시험 및 점검인</v>
      </c>
      <c r="I1340" s="671" t="str">
        <f t="shared" ref="I1340" si="1629">CONCATENATE(C1340,E1340,F1340)</f>
        <v>통신설비공시험 및 점검인</v>
      </c>
      <c r="J1340" s="506" t="str">
        <f>IF(OR($F1340="인",$F1340=""),"",VLOOKUP($H1340,단가!$A:$S,19,FALSE))</f>
        <v/>
      </c>
      <c r="K1340" s="507" t="str">
        <f t="shared" si="1621"/>
        <v/>
      </c>
      <c r="L1340" s="506">
        <f>IF($F1340="인",VLOOKUP($C:$C,노임!$C:$G,4,FALSE),"")</f>
        <v>193302</v>
      </c>
      <c r="M1340" s="507">
        <f t="shared" si="1622"/>
        <v>42526</v>
      </c>
      <c r="N1340" s="507"/>
      <c r="O1340" s="507" t="str">
        <f t="shared" si="1623"/>
        <v/>
      </c>
      <c r="P1340" s="508"/>
      <c r="Q1340" s="509" t="str">
        <f>IF(F1340="인","노임"&amp;VLOOKUP($C:$C,노임!C:G,5,FALSE)&amp;"번","단가"&amp;VLOOKUP($H:$H,단가!$A:$B,2,FALSE)&amp;"번")</f>
        <v>노임1087번</v>
      </c>
      <c r="R1340" s="510"/>
      <c r="S1340" s="131"/>
      <c r="T1340" s="599" t="str">
        <f t="shared" ref="T1340" si="1630">CONCATENATE(Q1340,R1340)</f>
        <v>노임1087번</v>
      </c>
      <c r="V1340" s="631"/>
      <c r="W1340" s="471">
        <f t="shared" si="1625"/>
        <v>52</v>
      </c>
      <c r="X1340" s="471" t="e">
        <f t="shared" si="1625"/>
        <v>#REF!</v>
      </c>
      <c r="Y1340" s="471" t="e">
        <f t="shared" ref="Y1340" si="1631">X1340-W1340</f>
        <v>#REF!</v>
      </c>
      <c r="Z1340" s="471"/>
      <c r="AA1340" s="471"/>
      <c r="AB1340" s="435"/>
    </row>
    <row r="1341" spans="1:40" s="599" customFormat="1" ht="15.75" customHeight="1" x14ac:dyDescent="0.15">
      <c r="B1341" s="670"/>
      <c r="C1341" s="140"/>
      <c r="D1341" s="670"/>
      <c r="E1341" s="643"/>
      <c r="F1341" s="207"/>
      <c r="G1341" s="556"/>
      <c r="H1341" s="463" t="str">
        <f t="shared" si="1615"/>
        <v/>
      </c>
      <c r="I1341" s="671"/>
      <c r="J1341" s="506"/>
      <c r="K1341" s="507"/>
      <c r="L1341" s="506"/>
      <c r="M1341" s="507"/>
      <c r="N1341" s="507"/>
      <c r="O1341" s="507"/>
      <c r="P1341" s="508"/>
      <c r="Q1341" s="512"/>
      <c r="R1341" s="534"/>
      <c r="S1341" s="131"/>
      <c r="T1341" s="599" t="str">
        <f t="shared" si="1616"/>
        <v/>
      </c>
      <c r="V1341" s="549"/>
      <c r="W1341" s="471">
        <f t="shared" ref="W1341:X1341" si="1632">W1340</f>
        <v>52</v>
      </c>
      <c r="X1341" s="471" t="e">
        <f t="shared" si="1632"/>
        <v>#REF!</v>
      </c>
      <c r="Y1341" s="471" t="e">
        <f t="shared" si="1618"/>
        <v>#REF!</v>
      </c>
      <c r="Z1341" s="471"/>
      <c r="AA1341" s="471"/>
      <c r="AB1341" s="435"/>
    </row>
    <row r="1342" spans="1:40" s="599" customFormat="1" ht="15.75" customHeight="1" x14ac:dyDescent="0.15">
      <c r="B1342" s="670"/>
      <c r="C1342" s="140"/>
      <c r="D1342" s="670"/>
      <c r="E1342" s="643"/>
      <c r="F1342" s="207"/>
      <c r="G1342" s="556"/>
      <c r="H1342" s="463" t="str">
        <f t="shared" si="1603"/>
        <v/>
      </c>
      <c r="I1342" s="671"/>
      <c r="J1342" s="506"/>
      <c r="K1342" s="507"/>
      <c r="L1342" s="506"/>
      <c r="M1342" s="507"/>
      <c r="N1342" s="507"/>
      <c r="O1342" s="507"/>
      <c r="P1342" s="508"/>
      <c r="Q1342" s="512"/>
      <c r="R1342" s="534"/>
      <c r="S1342" s="131"/>
      <c r="T1342" s="599" t="str">
        <f t="shared" si="1604"/>
        <v/>
      </c>
      <c r="V1342" s="549"/>
      <c r="W1342" s="471">
        <f t="shared" ref="W1342:X1342" si="1633">W1341</f>
        <v>52</v>
      </c>
      <c r="X1342" s="471" t="e">
        <f t="shared" si="1633"/>
        <v>#REF!</v>
      </c>
      <c r="Y1342" s="471" t="e">
        <f t="shared" si="1606"/>
        <v>#REF!</v>
      </c>
      <c r="Z1342" s="471"/>
      <c r="AA1342" s="471"/>
      <c r="AB1342" s="435"/>
    </row>
    <row r="1343" spans="1:40" s="599" customFormat="1" ht="15.75" customHeight="1" x14ac:dyDescent="0.15">
      <c r="B1343" s="670"/>
      <c r="C1343" s="140"/>
      <c r="D1343" s="670"/>
      <c r="E1343" s="643"/>
      <c r="F1343" s="207"/>
      <c r="G1343" s="556"/>
      <c r="H1343" s="463" t="str">
        <f t="shared" si="1603"/>
        <v/>
      </c>
      <c r="I1343" s="671"/>
      <c r="J1343" s="506"/>
      <c r="K1343" s="507"/>
      <c r="L1343" s="506"/>
      <c r="M1343" s="507"/>
      <c r="N1343" s="507"/>
      <c r="O1343" s="507"/>
      <c r="P1343" s="508"/>
      <c r="Q1343" s="512"/>
      <c r="R1343" s="513"/>
      <c r="S1343" s="131"/>
      <c r="T1343" s="599" t="str">
        <f t="shared" si="1604"/>
        <v/>
      </c>
      <c r="V1343" s="549"/>
      <c r="W1343" s="471">
        <f t="shared" ref="W1343:X1343" si="1634">W1342</f>
        <v>52</v>
      </c>
      <c r="X1343" s="471" t="e">
        <f t="shared" si="1634"/>
        <v>#REF!</v>
      </c>
      <c r="Y1343" s="471" t="e">
        <f t="shared" si="1606"/>
        <v>#REF!</v>
      </c>
      <c r="Z1343" s="471"/>
      <c r="AA1343" s="471"/>
      <c r="AB1343" s="435"/>
    </row>
    <row r="1344" spans="1:40" s="599" customFormat="1" ht="15.75" customHeight="1" x14ac:dyDescent="0.15">
      <c r="B1344" s="670"/>
      <c r="C1344" s="140"/>
      <c r="D1344" s="670"/>
      <c r="E1344" s="643"/>
      <c r="F1344" s="207"/>
      <c r="G1344" s="556"/>
      <c r="H1344" s="463" t="str">
        <f t="shared" si="1603"/>
        <v/>
      </c>
      <c r="I1344" s="671"/>
      <c r="J1344" s="506"/>
      <c r="K1344" s="507"/>
      <c r="L1344" s="506"/>
      <c r="M1344" s="507"/>
      <c r="N1344" s="507"/>
      <c r="O1344" s="507"/>
      <c r="P1344" s="508"/>
      <c r="Q1344" s="512"/>
      <c r="R1344" s="534"/>
      <c r="S1344" s="131"/>
      <c r="T1344" s="599" t="str">
        <f t="shared" si="1604"/>
        <v/>
      </c>
      <c r="V1344" s="549"/>
      <c r="W1344" s="471">
        <f t="shared" ref="W1344:X1344" si="1635">W1343</f>
        <v>52</v>
      </c>
      <c r="X1344" s="471" t="e">
        <f t="shared" si="1635"/>
        <v>#REF!</v>
      </c>
      <c r="Y1344" s="471" t="e">
        <f t="shared" si="1606"/>
        <v>#REF!</v>
      </c>
      <c r="Z1344" s="471"/>
      <c r="AA1344" s="471"/>
      <c r="AB1344" s="435"/>
    </row>
    <row r="1345" spans="1:40" s="599" customFormat="1" ht="15.75" customHeight="1" x14ac:dyDescent="0.15">
      <c r="B1345" s="670"/>
      <c r="C1345" s="140"/>
      <c r="D1345" s="670"/>
      <c r="E1345" s="643"/>
      <c r="F1345" s="207"/>
      <c r="G1345" s="556"/>
      <c r="H1345" s="463" t="str">
        <f t="shared" si="1603"/>
        <v/>
      </c>
      <c r="I1345" s="671"/>
      <c r="J1345" s="506"/>
      <c r="K1345" s="507"/>
      <c r="L1345" s="506"/>
      <c r="M1345" s="507"/>
      <c r="N1345" s="507"/>
      <c r="O1345" s="507"/>
      <c r="P1345" s="508"/>
      <c r="Q1345" s="512"/>
      <c r="R1345" s="534"/>
      <c r="S1345" s="131"/>
      <c r="T1345" s="599" t="str">
        <f t="shared" si="1604"/>
        <v/>
      </c>
      <c r="V1345" s="549"/>
      <c r="W1345" s="471">
        <f t="shared" ref="W1345:X1345" si="1636">W1344</f>
        <v>52</v>
      </c>
      <c r="X1345" s="471" t="e">
        <f t="shared" si="1636"/>
        <v>#REF!</v>
      </c>
      <c r="Y1345" s="471" t="e">
        <f t="shared" si="1606"/>
        <v>#REF!</v>
      </c>
      <c r="Z1345" s="471"/>
      <c r="AA1345" s="471"/>
      <c r="AB1345" s="435"/>
    </row>
    <row r="1346" spans="1:40" s="599" customFormat="1" ht="15.75" customHeight="1" x14ac:dyDescent="0.15">
      <c r="B1346" s="670"/>
      <c r="C1346" s="140"/>
      <c r="D1346" s="670"/>
      <c r="E1346" s="643"/>
      <c r="F1346" s="207"/>
      <c r="G1346" s="556"/>
      <c r="H1346" s="463" t="str">
        <f t="shared" si="1603"/>
        <v/>
      </c>
      <c r="I1346" s="671"/>
      <c r="J1346" s="506"/>
      <c r="K1346" s="507"/>
      <c r="L1346" s="506"/>
      <c r="M1346" s="507"/>
      <c r="N1346" s="507"/>
      <c r="O1346" s="507"/>
      <c r="P1346" s="508"/>
      <c r="Q1346" s="512"/>
      <c r="R1346" s="513"/>
      <c r="S1346" s="131"/>
      <c r="T1346" s="599" t="str">
        <f t="shared" si="1604"/>
        <v/>
      </c>
      <c r="V1346" s="549"/>
      <c r="W1346" s="471">
        <f t="shared" ref="W1346:X1346" si="1637">W1345</f>
        <v>52</v>
      </c>
      <c r="X1346" s="471" t="e">
        <f t="shared" si="1637"/>
        <v>#REF!</v>
      </c>
      <c r="Y1346" s="471" t="e">
        <f t="shared" si="1606"/>
        <v>#REF!</v>
      </c>
      <c r="Z1346" s="471"/>
      <c r="AA1346" s="471"/>
      <c r="AB1346" s="435"/>
    </row>
    <row r="1347" spans="1:40" s="599" customFormat="1" ht="15.75" customHeight="1" x14ac:dyDescent="0.15">
      <c r="B1347" s="670"/>
      <c r="C1347" s="140"/>
      <c r="D1347" s="670"/>
      <c r="E1347" s="643"/>
      <c r="F1347" s="207"/>
      <c r="G1347" s="556"/>
      <c r="H1347" s="463" t="str">
        <f t="shared" si="1603"/>
        <v/>
      </c>
      <c r="I1347" s="671"/>
      <c r="J1347" s="506"/>
      <c r="K1347" s="507"/>
      <c r="L1347" s="506"/>
      <c r="M1347" s="507"/>
      <c r="N1347" s="507"/>
      <c r="O1347" s="507"/>
      <c r="P1347" s="508"/>
      <c r="Q1347" s="512"/>
      <c r="R1347" s="534"/>
      <c r="S1347" s="131"/>
      <c r="T1347" s="599" t="str">
        <f t="shared" si="1604"/>
        <v/>
      </c>
      <c r="V1347" s="549"/>
      <c r="W1347" s="471">
        <f t="shared" ref="W1347:X1347" si="1638">W1346</f>
        <v>52</v>
      </c>
      <c r="X1347" s="471" t="e">
        <f t="shared" si="1638"/>
        <v>#REF!</v>
      </c>
      <c r="Y1347" s="471" t="e">
        <f t="shared" si="1606"/>
        <v>#REF!</v>
      </c>
      <c r="Z1347" s="471"/>
      <c r="AA1347" s="471"/>
      <c r="AB1347" s="435"/>
    </row>
    <row r="1348" spans="1:40" s="599" customFormat="1" ht="15.75" customHeight="1" x14ac:dyDescent="0.15">
      <c r="B1348" s="670"/>
      <c r="C1348" s="140"/>
      <c r="D1348" s="670"/>
      <c r="E1348" s="643"/>
      <c r="F1348" s="207"/>
      <c r="G1348" s="556"/>
      <c r="H1348" s="463" t="str">
        <f t="shared" si="1603"/>
        <v/>
      </c>
      <c r="I1348" s="671"/>
      <c r="J1348" s="506"/>
      <c r="K1348" s="507"/>
      <c r="L1348" s="506"/>
      <c r="M1348" s="507"/>
      <c r="N1348" s="507"/>
      <c r="O1348" s="507"/>
      <c r="P1348" s="508"/>
      <c r="Q1348" s="512"/>
      <c r="R1348" s="534"/>
      <c r="S1348" s="131"/>
      <c r="T1348" s="599" t="str">
        <f t="shared" si="1604"/>
        <v/>
      </c>
      <c r="V1348" s="549"/>
      <c r="W1348" s="471">
        <f t="shared" ref="W1348:X1348" si="1639">W1347</f>
        <v>52</v>
      </c>
      <c r="X1348" s="471" t="e">
        <f t="shared" si="1639"/>
        <v>#REF!</v>
      </c>
      <c r="Y1348" s="471" t="e">
        <f t="shared" si="1606"/>
        <v>#REF!</v>
      </c>
      <c r="Z1348" s="471"/>
      <c r="AA1348" s="471"/>
      <c r="AB1348" s="435"/>
    </row>
    <row r="1349" spans="1:40" s="599" customFormat="1" ht="15.75" customHeight="1" x14ac:dyDescent="0.15">
      <c r="B1349" s="670"/>
      <c r="C1349" s="140"/>
      <c r="D1349" s="670"/>
      <c r="E1349" s="643"/>
      <c r="F1349" s="207"/>
      <c r="G1349" s="556"/>
      <c r="H1349" s="463" t="str">
        <f t="shared" si="1603"/>
        <v/>
      </c>
      <c r="I1349" s="671"/>
      <c r="J1349" s="506"/>
      <c r="K1349" s="507"/>
      <c r="L1349" s="506"/>
      <c r="M1349" s="507"/>
      <c r="N1349" s="507"/>
      <c r="O1349" s="507"/>
      <c r="P1349" s="508"/>
      <c r="Q1349" s="512"/>
      <c r="R1349" s="513"/>
      <c r="S1349" s="131"/>
      <c r="T1349" s="599" t="str">
        <f t="shared" si="1604"/>
        <v/>
      </c>
      <c r="V1349" s="549"/>
      <c r="W1349" s="471">
        <f t="shared" ref="W1349:X1349" si="1640">W1348</f>
        <v>52</v>
      </c>
      <c r="X1349" s="471" t="e">
        <f t="shared" si="1640"/>
        <v>#REF!</v>
      </c>
      <c r="Y1349" s="471" t="e">
        <f t="shared" si="1606"/>
        <v>#REF!</v>
      </c>
      <c r="Z1349" s="471"/>
      <c r="AA1349" s="471"/>
      <c r="AB1349" s="435"/>
    </row>
    <row r="1350" spans="1:40" s="599" customFormat="1" ht="15.75" customHeight="1" x14ac:dyDescent="0.15">
      <c r="B1350" s="514" t="s">
        <v>801</v>
      </c>
      <c r="C1350" s="515"/>
      <c r="D1350" s="516"/>
      <c r="E1350" s="517"/>
      <c r="F1350" s="518"/>
      <c r="G1350" s="557"/>
      <c r="H1350" s="463" t="str">
        <f t="shared" si="1603"/>
        <v/>
      </c>
      <c r="I1350" s="520">
        <f>목록!$B$58</f>
        <v>52</v>
      </c>
      <c r="J1350" s="521"/>
      <c r="K1350" s="522">
        <f>SUM(K1336:K1349)</f>
        <v>420000</v>
      </c>
      <c r="L1350" s="521"/>
      <c r="M1350" s="522">
        <f>SUM(M1336:M1349)</f>
        <v>183140</v>
      </c>
      <c r="N1350" s="521"/>
      <c r="O1350" s="522">
        <f>SUM(O1336:O1349)</f>
        <v>0</v>
      </c>
      <c r="P1350" s="523"/>
      <c r="Q1350" s="512"/>
      <c r="R1350" s="513"/>
      <c r="S1350" s="524"/>
      <c r="T1350" s="599" t="str">
        <f t="shared" si="1604"/>
        <v/>
      </c>
      <c r="V1350" s="549"/>
      <c r="W1350" s="471">
        <f t="shared" ref="W1350:X1350" si="1641">W1349</f>
        <v>52</v>
      </c>
      <c r="X1350" s="471" t="e">
        <f t="shared" si="1641"/>
        <v>#REF!</v>
      </c>
      <c r="Y1350" s="471" t="e">
        <f t="shared" si="1606"/>
        <v>#REF!</v>
      </c>
      <c r="Z1350" s="471"/>
      <c r="AA1350" s="471"/>
      <c r="AB1350" s="435"/>
    </row>
    <row r="1351" spans="1:40" s="599" customFormat="1" ht="15.75" customHeight="1" x14ac:dyDescent="0.15">
      <c r="B1351" s="453"/>
      <c r="C1351" s="630"/>
      <c r="D1351" s="670"/>
      <c r="E1351" s="643"/>
      <c r="F1351" s="207"/>
      <c r="G1351" s="556"/>
      <c r="H1351" s="463" t="str">
        <f t="shared" si="1603"/>
        <v/>
      </c>
      <c r="I1351" s="671"/>
      <c r="J1351" s="506"/>
      <c r="K1351" s="507"/>
      <c r="L1351" s="506"/>
      <c r="M1351" s="507"/>
      <c r="N1351" s="507"/>
      <c r="O1351" s="507"/>
      <c r="P1351" s="508"/>
      <c r="Q1351" s="512"/>
      <c r="R1351" s="513"/>
      <c r="S1351" s="131"/>
      <c r="T1351" s="599" t="str">
        <f t="shared" si="1604"/>
        <v/>
      </c>
      <c r="V1351" s="549"/>
      <c r="W1351" s="615">
        <f t="shared" ref="W1351:X1352" si="1642">W1350</f>
        <v>52</v>
      </c>
      <c r="X1351" s="471" t="e">
        <f t="shared" si="1642"/>
        <v>#REF!</v>
      </c>
      <c r="Y1351" s="471" t="e">
        <f t="shared" si="1606"/>
        <v>#REF!</v>
      </c>
      <c r="Z1351" s="471"/>
      <c r="AA1351" s="471"/>
      <c r="AB1351" s="435"/>
    </row>
    <row r="1352" spans="1:40" s="599" customFormat="1" ht="15.75" customHeight="1" x14ac:dyDescent="0.15">
      <c r="A1352" s="473"/>
      <c r="B1352" s="453"/>
      <c r="C1352" s="540" t="s">
        <v>1533</v>
      </c>
      <c r="D1352" s="670"/>
      <c r="E1352" s="643"/>
      <c r="F1352" s="207"/>
      <c r="G1352" s="556"/>
      <c r="H1352" s="463" t="str">
        <f t="shared" si="1603"/>
        <v>※ 정보통신표준품셈 7-11-2 구내방송 설비 (Power Distributor)</v>
      </c>
      <c r="I1352" s="671"/>
      <c r="J1352" s="506"/>
      <c r="K1352" s="507"/>
      <c r="L1352" s="506"/>
      <c r="M1352" s="507"/>
      <c r="N1352" s="507"/>
      <c r="O1352" s="507"/>
      <c r="P1352" s="508"/>
      <c r="Q1352" s="512"/>
      <c r="R1352" s="513"/>
      <c r="S1352" s="131"/>
      <c r="T1352" s="599" t="str">
        <f t="shared" si="1604"/>
        <v/>
      </c>
      <c r="V1352" s="631"/>
      <c r="W1352" s="471">
        <f t="shared" si="1642"/>
        <v>52</v>
      </c>
      <c r="X1352" s="471" t="e">
        <f t="shared" si="1642"/>
        <v>#REF!</v>
      </c>
      <c r="Y1352" s="471" t="e">
        <f t="shared" si="1606"/>
        <v>#REF!</v>
      </c>
      <c r="Z1352" s="471"/>
      <c r="AA1352" s="471"/>
      <c r="AB1352" s="435"/>
    </row>
    <row r="1353" spans="1:40" s="599" customFormat="1" ht="15.75" customHeight="1" x14ac:dyDescent="0.15">
      <c r="B1353" s="514"/>
      <c r="C1353" s="630"/>
      <c r="D1353" s="516"/>
      <c r="E1353" s="517"/>
      <c r="F1353" s="518"/>
      <c r="G1353" s="557"/>
      <c r="H1353" s="463" t="str">
        <f t="shared" si="1603"/>
        <v/>
      </c>
      <c r="I1353" s="520"/>
      <c r="J1353" s="521"/>
      <c r="K1353" s="522"/>
      <c r="L1353" s="521"/>
      <c r="M1353" s="522"/>
      <c r="N1353" s="521"/>
      <c r="O1353" s="522"/>
      <c r="P1353" s="523"/>
      <c r="Q1353" s="512"/>
      <c r="R1353" s="513"/>
      <c r="S1353" s="524"/>
      <c r="T1353" s="599" t="str">
        <f t="shared" si="1604"/>
        <v/>
      </c>
      <c r="U1353" s="473"/>
      <c r="W1353" s="471">
        <f t="shared" ref="W1353:X1353" si="1643">W1352</f>
        <v>52</v>
      </c>
      <c r="X1353" s="471" t="e">
        <f t="shared" si="1643"/>
        <v>#REF!</v>
      </c>
      <c r="Y1353" s="471" t="e">
        <f t="shared" si="1606"/>
        <v>#REF!</v>
      </c>
      <c r="Z1353" s="471"/>
      <c r="AA1353" s="471"/>
      <c r="AB1353" s="435"/>
      <c r="AC1353" s="473"/>
      <c r="AD1353" s="473"/>
      <c r="AE1353" s="473"/>
      <c r="AF1353" s="473"/>
      <c r="AG1353" s="473"/>
      <c r="AH1353" s="473"/>
      <c r="AI1353" s="473"/>
      <c r="AJ1353" s="473"/>
      <c r="AK1353" s="473"/>
      <c r="AL1353" s="473"/>
      <c r="AM1353" s="473"/>
      <c r="AN1353" s="473"/>
    </row>
    <row r="1354" spans="1:40" s="473" customFormat="1" ht="15.75" customHeight="1" x14ac:dyDescent="0.15">
      <c r="A1354" s="599"/>
      <c r="C1354" s="458"/>
      <c r="D1354" s="459"/>
      <c r="E1354" s="460"/>
      <c r="F1354" s="461"/>
      <c r="G1354" s="553"/>
      <c r="H1354" s="463" t="str">
        <f t="shared" si="1603"/>
        <v/>
      </c>
      <c r="I1354" s="464"/>
      <c r="J1354" s="465"/>
      <c r="K1354" s="465"/>
      <c r="L1354" s="465"/>
      <c r="M1354" s="465"/>
      <c r="N1354" s="465"/>
      <c r="O1354" s="466"/>
      <c r="P1354" s="467"/>
      <c r="Q1354" s="468"/>
      <c r="R1354" s="526"/>
      <c r="S1354" s="467"/>
      <c r="T1354" s="599" t="str">
        <f t="shared" si="1604"/>
        <v/>
      </c>
      <c r="U1354" s="599"/>
      <c r="V1354" s="599"/>
      <c r="W1354" s="533">
        <f t="shared" ref="W1354" si="1644">I1376</f>
        <v>53</v>
      </c>
      <c r="X1354" s="533" t="e">
        <f>#REF!+1</f>
        <v>#REF!</v>
      </c>
      <c r="Y1354" s="533" t="e">
        <f t="shared" si="1606"/>
        <v>#REF!</v>
      </c>
      <c r="Z1354" s="533"/>
      <c r="AA1354" s="533"/>
      <c r="AB1354" s="435"/>
      <c r="AC1354" s="599"/>
      <c r="AD1354" s="599"/>
      <c r="AE1354" s="599"/>
      <c r="AF1354" s="599"/>
      <c r="AG1354" s="599"/>
      <c r="AH1354" s="599"/>
      <c r="AI1354" s="599"/>
      <c r="AJ1354" s="599"/>
      <c r="AK1354" s="599"/>
      <c r="AL1354" s="599"/>
      <c r="AM1354" s="599"/>
      <c r="AN1354" s="599"/>
    </row>
    <row r="1355" spans="1:40" s="599" customFormat="1" ht="15.75" customHeight="1" x14ac:dyDescent="0.15">
      <c r="A1355" s="473"/>
      <c r="B1355" s="473"/>
      <c r="C1355" s="746" t="str">
        <f>"   항목번호 : "&amp;목록!L$59</f>
        <v xml:space="preserve">   항목번호 : 제53호표</v>
      </c>
      <c r="D1355" s="475">
        <f>목록!B$54</f>
        <v>48</v>
      </c>
      <c r="E1355" s="476"/>
      <c r="F1355" s="477"/>
      <c r="G1355" s="554"/>
      <c r="H1355" s="463" t="str">
        <f t="shared" si="1603"/>
        <v xml:space="preserve">   항목번호 : 제53호표</v>
      </c>
      <c r="I1355" s="479"/>
      <c r="J1355" s="488"/>
      <c r="K1355" s="481"/>
      <c r="L1355" s="482"/>
      <c r="M1355" s="482"/>
      <c r="N1355" s="482"/>
      <c r="O1355" s="466"/>
      <c r="P1355" s="483"/>
      <c r="Q1355" s="654"/>
      <c r="R1355" s="485"/>
      <c r="S1355" s="483"/>
      <c r="T1355" s="599" t="str">
        <f t="shared" si="1604"/>
        <v/>
      </c>
      <c r="V1355" s="631"/>
      <c r="W1355" s="471">
        <f t="shared" ref="W1355:X1355" si="1645">W1354</f>
        <v>53</v>
      </c>
      <c r="X1355" s="471" t="e">
        <f t="shared" si="1645"/>
        <v>#REF!</v>
      </c>
      <c r="Y1355" s="471" t="e">
        <f t="shared" si="1606"/>
        <v>#REF!</v>
      </c>
      <c r="Z1355" s="471"/>
      <c r="AA1355" s="471"/>
      <c r="AB1355" s="435"/>
    </row>
    <row r="1356" spans="1:40" s="599" customFormat="1" ht="15.75" customHeight="1" x14ac:dyDescent="0.15">
      <c r="A1356" s="473"/>
      <c r="B1356" s="473"/>
      <c r="C1356" s="746" t="str">
        <f>"   공      종 : "&amp;목록!D$59</f>
        <v xml:space="preserve">   공      종 : Sequence power switcher</v>
      </c>
      <c r="D1356" s="654"/>
      <c r="E1356" s="476"/>
      <c r="F1356" s="473"/>
      <c r="G1356" s="554"/>
      <c r="H1356" s="463" t="str">
        <f t="shared" si="1603"/>
        <v xml:space="preserve">   공      종 : Sequence power switcher</v>
      </c>
      <c r="I1356" s="479"/>
      <c r="J1356" s="488"/>
      <c r="K1356" s="481"/>
      <c r="L1356" s="482"/>
      <c r="M1356" s="482"/>
      <c r="N1356" s="482"/>
      <c r="O1356" s="466"/>
      <c r="P1356" s="483"/>
      <c r="Q1356" s="654"/>
      <c r="R1356" s="485"/>
      <c r="S1356" s="483"/>
      <c r="T1356" s="599" t="str">
        <f t="shared" si="1604"/>
        <v/>
      </c>
      <c r="U1356" s="473"/>
      <c r="W1356" s="471">
        <f t="shared" ref="W1356:X1356" si="1646">W1355</f>
        <v>53</v>
      </c>
      <c r="X1356" s="471" t="e">
        <f t="shared" si="1646"/>
        <v>#REF!</v>
      </c>
      <c r="Y1356" s="471" t="e">
        <f t="shared" si="1606"/>
        <v>#REF!</v>
      </c>
      <c r="Z1356" s="471"/>
      <c r="AA1356" s="471"/>
      <c r="AB1356" s="435"/>
      <c r="AC1356" s="473"/>
      <c r="AD1356" s="473"/>
      <c r="AE1356" s="473"/>
      <c r="AF1356" s="473"/>
      <c r="AG1356" s="473"/>
      <c r="AH1356" s="473"/>
      <c r="AI1356" s="473"/>
      <c r="AJ1356" s="473"/>
      <c r="AK1356" s="473"/>
      <c r="AL1356" s="473"/>
      <c r="AM1356" s="473"/>
      <c r="AN1356" s="473"/>
    </row>
    <row r="1357" spans="1:40" s="473" customFormat="1" ht="15.75" customHeight="1" x14ac:dyDescent="0.15">
      <c r="C1357" s="746" t="str">
        <f xml:space="preserve"> "   규      격 : "&amp;목록!F$59</f>
        <v xml:space="preserve">   규      격 : </v>
      </c>
      <c r="D1357" s="654"/>
      <c r="E1357" s="476"/>
      <c r="G1357" s="554"/>
      <c r="H1357" s="463" t="str">
        <f t="shared" si="1603"/>
        <v xml:space="preserve">   규      격 : </v>
      </c>
      <c r="I1357" s="479"/>
      <c r="J1357" s="488" t="s">
        <v>348</v>
      </c>
      <c r="K1357" s="481"/>
      <c r="L1357" s="482" t="s">
        <v>349</v>
      </c>
      <c r="M1357" s="482"/>
      <c r="N1357" s="482" t="s">
        <v>240</v>
      </c>
      <c r="O1357" s="466"/>
      <c r="P1357" s="483"/>
      <c r="Q1357" s="654" t="s">
        <v>764</v>
      </c>
      <c r="R1357" s="654"/>
      <c r="S1357" s="483"/>
      <c r="T1357" s="599" t="str">
        <f t="shared" si="1604"/>
        <v>합계</v>
      </c>
      <c r="V1357" s="599"/>
      <c r="W1357" s="471">
        <f t="shared" ref="W1357:X1357" si="1647">W1356</f>
        <v>53</v>
      </c>
      <c r="X1357" s="471" t="e">
        <f t="shared" si="1647"/>
        <v>#REF!</v>
      </c>
      <c r="Y1357" s="471" t="e">
        <f t="shared" si="1606"/>
        <v>#REF!</v>
      </c>
      <c r="Z1357" s="471"/>
      <c r="AA1357" s="471"/>
      <c r="AB1357" s="435"/>
    </row>
    <row r="1358" spans="1:40" s="473" customFormat="1" ht="15.75" customHeight="1" x14ac:dyDescent="0.15">
      <c r="C1358" s="746" t="str">
        <f>"   단      위 : "&amp;목록!G$59</f>
        <v xml:space="preserve">   단      위 : EA</v>
      </c>
      <c r="D1358" s="654"/>
      <c r="E1358" s="476"/>
      <c r="G1358" s="554"/>
      <c r="H1358" s="463" t="str">
        <f t="shared" si="1603"/>
        <v xml:space="preserve">   단      위 : EA</v>
      </c>
      <c r="I1358" s="479"/>
      <c r="J1358" s="489">
        <f>K1376</f>
        <v>450000</v>
      </c>
      <c r="K1358" s="481"/>
      <c r="L1358" s="487">
        <f>M1376</f>
        <v>99426</v>
      </c>
      <c r="M1358" s="482"/>
      <c r="N1358" s="482">
        <f>O1376</f>
        <v>0</v>
      </c>
      <c r="O1358" s="466"/>
      <c r="P1358" s="483"/>
      <c r="Q1358" s="488">
        <f>J1358+L1358+N1358</f>
        <v>549426</v>
      </c>
      <c r="R1358" s="489"/>
      <c r="S1358" s="483"/>
      <c r="T1358" s="599" t="str">
        <f t="shared" si="1604"/>
        <v>549426</v>
      </c>
      <c r="V1358" s="599"/>
      <c r="W1358" s="471">
        <f t="shared" ref="W1358:X1358" si="1648">W1357</f>
        <v>53</v>
      </c>
      <c r="X1358" s="471" t="e">
        <f t="shared" si="1648"/>
        <v>#REF!</v>
      </c>
      <c r="Y1358" s="471" t="e">
        <f t="shared" si="1606"/>
        <v>#REF!</v>
      </c>
      <c r="Z1358" s="471"/>
      <c r="AA1358" s="471"/>
      <c r="AB1358" s="435"/>
    </row>
    <row r="1359" spans="1:40" s="473" customFormat="1" ht="15.75" customHeight="1" x14ac:dyDescent="0.15">
      <c r="C1359" s="746"/>
      <c r="D1359" s="654"/>
      <c r="E1359" s="476"/>
      <c r="G1359" s="555"/>
      <c r="H1359" s="463" t="str">
        <f t="shared" si="1603"/>
        <v/>
      </c>
      <c r="I1359" s="491"/>
      <c r="J1359" s="482"/>
      <c r="K1359" s="465"/>
      <c r="L1359" s="482"/>
      <c r="M1359" s="482"/>
      <c r="N1359" s="482"/>
      <c r="O1359" s="466"/>
      <c r="P1359" s="492"/>
      <c r="Q1359" s="493"/>
      <c r="R1359" s="485"/>
      <c r="S1359" s="492"/>
      <c r="T1359" s="599" t="str">
        <f t="shared" si="1604"/>
        <v/>
      </c>
      <c r="V1359" s="599"/>
      <c r="W1359" s="471">
        <f t="shared" ref="W1359:X1359" si="1649">W1358</f>
        <v>53</v>
      </c>
      <c r="X1359" s="471" t="e">
        <f t="shared" si="1649"/>
        <v>#REF!</v>
      </c>
      <c r="Y1359" s="471" t="e">
        <f t="shared" si="1606"/>
        <v>#REF!</v>
      </c>
      <c r="Z1359" s="471"/>
      <c r="AA1359" s="471"/>
      <c r="AB1359" s="435"/>
    </row>
    <row r="1360" spans="1:40" s="473" customFormat="1" ht="15.75" customHeight="1" x14ac:dyDescent="0.15">
      <c r="B1360" s="899" t="s">
        <v>375</v>
      </c>
      <c r="C1360" s="900"/>
      <c r="D1360" s="907" t="s">
        <v>356</v>
      </c>
      <c r="E1360" s="908"/>
      <c r="F1360" s="903" t="s">
        <v>788</v>
      </c>
      <c r="G1360" s="911" t="s">
        <v>789</v>
      </c>
      <c r="H1360" s="463" t="str">
        <f t="shared" si="1603"/>
        <v>단위</v>
      </c>
      <c r="I1360" s="623"/>
      <c r="J1360" s="495" t="s">
        <v>348</v>
      </c>
      <c r="K1360" s="496"/>
      <c r="L1360" s="495" t="s">
        <v>349</v>
      </c>
      <c r="M1360" s="496"/>
      <c r="N1360" s="497" t="s">
        <v>240</v>
      </c>
      <c r="O1360" s="497"/>
      <c r="P1360" s="498"/>
      <c r="Q1360" s="862" t="s">
        <v>355</v>
      </c>
      <c r="R1360" s="862"/>
      <c r="S1360" s="499"/>
      <c r="T1360" s="599" t="str">
        <f t="shared" si="1604"/>
        <v>비  고</v>
      </c>
      <c r="V1360" s="599"/>
      <c r="W1360" s="471">
        <f t="shared" ref="W1360:X1360" si="1650">W1359</f>
        <v>53</v>
      </c>
      <c r="X1360" s="471" t="e">
        <f t="shared" si="1650"/>
        <v>#REF!</v>
      </c>
      <c r="Y1360" s="471" t="e">
        <f t="shared" si="1606"/>
        <v>#REF!</v>
      </c>
      <c r="Z1360" s="471"/>
      <c r="AA1360" s="471"/>
      <c r="AB1360" s="435"/>
    </row>
    <row r="1361" spans="1:28" s="473" customFormat="1" ht="15.75" customHeight="1" x14ac:dyDescent="0.15">
      <c r="B1361" s="901"/>
      <c r="C1361" s="902"/>
      <c r="D1361" s="909"/>
      <c r="E1361" s="910"/>
      <c r="F1361" s="904"/>
      <c r="G1361" s="912"/>
      <c r="H1361" s="463" t="str">
        <f t="shared" si="1603"/>
        <v/>
      </c>
      <c r="I1361" s="624"/>
      <c r="J1361" s="501" t="s">
        <v>353</v>
      </c>
      <c r="K1361" s="501" t="s">
        <v>354</v>
      </c>
      <c r="L1361" s="501" t="s">
        <v>353</v>
      </c>
      <c r="M1361" s="749" t="s">
        <v>354</v>
      </c>
      <c r="N1361" s="501" t="s">
        <v>353</v>
      </c>
      <c r="O1361" s="501" t="s">
        <v>354</v>
      </c>
      <c r="P1361" s="861"/>
      <c r="Q1361" s="863"/>
      <c r="R1361" s="863"/>
      <c r="S1361" s="504"/>
      <c r="T1361" s="599" t="str">
        <f t="shared" si="1604"/>
        <v/>
      </c>
      <c r="V1361" s="599"/>
      <c r="W1361" s="471">
        <f t="shared" ref="W1361:X1361" si="1651">W1360</f>
        <v>53</v>
      </c>
      <c r="X1361" s="471" t="e">
        <f t="shared" si="1651"/>
        <v>#REF!</v>
      </c>
      <c r="Y1361" s="471" t="e">
        <f t="shared" si="1606"/>
        <v>#REF!</v>
      </c>
      <c r="Z1361" s="471"/>
      <c r="AA1361" s="471"/>
      <c r="AB1361" s="435"/>
    </row>
    <row r="1362" spans="1:28" s="473" customFormat="1" ht="15.75" customHeight="1" x14ac:dyDescent="0.15">
      <c r="A1362" s="599"/>
      <c r="B1362" s="670"/>
      <c r="C1362" s="629" t="s">
        <v>1528</v>
      </c>
      <c r="D1362" s="670"/>
      <c r="E1362" s="629"/>
      <c r="F1362" s="207" t="s">
        <v>352</v>
      </c>
      <c r="G1362" s="556">
        <v>1</v>
      </c>
      <c r="H1362" s="463" t="str">
        <f t="shared" si="1603"/>
        <v>Sequence power switcherEA</v>
      </c>
      <c r="I1362" s="671" t="str">
        <f>CONCATENATE(C1362,E1362,F1362)</f>
        <v>Sequence power switcherEA</v>
      </c>
      <c r="J1362" s="506">
        <f>IF(OR($F1362="인",$F1362=""),"",VLOOKUP($H1362,단가!$A:$S,19,FALSE))</f>
        <v>450000</v>
      </c>
      <c r="K1362" s="507">
        <f>IF(J1362="","",TRUNC($G1362*J1362,0))</f>
        <v>450000</v>
      </c>
      <c r="L1362" s="506" t="str">
        <f>IF($F1362="인",VLOOKUP($C:$C,노임!$C:$G,4,FALSE),"")</f>
        <v/>
      </c>
      <c r="M1362" s="507" t="str">
        <f>IF(L1362="","",TRUNC($G1362*L1362,0))</f>
        <v/>
      </c>
      <c r="N1362" s="507"/>
      <c r="O1362" s="507" t="str">
        <f>IF(N1362="","",TRUNC($G1362*N1362,0))</f>
        <v/>
      </c>
      <c r="P1362" s="508"/>
      <c r="Q1362" s="509" t="str">
        <f>IF(F1362="인","노임"&amp;VLOOKUP($C:$C,노임!C:G,5,FALSE)&amp;"번","단가"&amp;VLOOKUP($H:$H,단가!$A:$B,2,FALSE)&amp;"번")</f>
        <v>단가121번</v>
      </c>
      <c r="R1362" s="510"/>
      <c r="S1362" s="131"/>
      <c r="T1362" s="599" t="str">
        <f t="shared" si="1604"/>
        <v>단가121번</v>
      </c>
      <c r="V1362" s="631"/>
      <c r="W1362" s="471">
        <f t="shared" ref="W1362:X1362" si="1652">W1361</f>
        <v>53</v>
      </c>
      <c r="X1362" s="471" t="e">
        <f t="shared" si="1652"/>
        <v>#REF!</v>
      </c>
      <c r="Y1362" s="471" t="e">
        <f t="shared" si="1606"/>
        <v>#REF!</v>
      </c>
      <c r="Z1362" s="471"/>
      <c r="AA1362" s="471"/>
      <c r="AB1362" s="435"/>
    </row>
    <row r="1363" spans="1:28" s="473" customFormat="1" ht="15.75" customHeight="1" x14ac:dyDescent="0.15">
      <c r="A1363" s="599"/>
      <c r="B1363" s="670"/>
      <c r="C1363" s="164" t="s">
        <v>1535</v>
      </c>
      <c r="D1363" s="165"/>
      <c r="E1363" s="164" t="s">
        <v>1507</v>
      </c>
      <c r="F1363" s="455" t="s">
        <v>1506</v>
      </c>
      <c r="G1363" s="556">
        <v>0.19</v>
      </c>
      <c r="H1363" s="463" t="str">
        <f t="shared" si="1603"/>
        <v>S/W시험사설치인</v>
      </c>
      <c r="I1363" s="671" t="str">
        <f>CONCATENATE(C1363,E1363,F1363)</f>
        <v>S/W시험사설치인</v>
      </c>
      <c r="J1363" s="506" t="str">
        <f>IF(OR($F1363="인",$F1363=""),"",VLOOKUP($H1363,단가!$A:$S,19,FALSE))</f>
        <v/>
      </c>
      <c r="K1363" s="507" t="str">
        <f>IF(J1363="","",TRUNC($G1363*J1363,0))</f>
        <v/>
      </c>
      <c r="L1363" s="506">
        <f>IF($F1363="인",VLOOKUP($C:$C,노임!$C:$G,4,FALSE),"")</f>
        <v>273048</v>
      </c>
      <c r="M1363" s="507">
        <f>IF(L1363="","",TRUNC($G1363*L1363,0))</f>
        <v>51879</v>
      </c>
      <c r="N1363" s="507"/>
      <c r="O1363" s="507" t="str">
        <f>IF(N1363="","",TRUNC($G1363*N1363,0))</f>
        <v/>
      </c>
      <c r="P1363" s="508"/>
      <c r="Q1363" s="509" t="str">
        <f>IF(F1363="인","노임"&amp;VLOOKUP($C:$C,노임!C:G,5,FALSE)&amp;"번","단가"&amp;VLOOKUP($H:$H,단가!$A:$B,2,FALSE)&amp;"번")</f>
        <v>노임2003번</v>
      </c>
      <c r="R1363" s="510"/>
      <c r="S1363" s="131"/>
      <c r="T1363" s="599" t="str">
        <f t="shared" si="1604"/>
        <v>노임2003번</v>
      </c>
      <c r="V1363" s="631"/>
      <c r="W1363" s="471">
        <f t="shared" ref="W1363:X1364" si="1653">W1362</f>
        <v>53</v>
      </c>
      <c r="X1363" s="471" t="e">
        <f t="shared" si="1653"/>
        <v>#REF!</v>
      </c>
      <c r="Y1363" s="471" t="e">
        <f t="shared" si="1606"/>
        <v>#REF!</v>
      </c>
      <c r="Z1363" s="471"/>
      <c r="AA1363" s="471"/>
      <c r="AB1363" s="435"/>
    </row>
    <row r="1364" spans="1:28" s="473" customFormat="1" ht="15.75" customHeight="1" x14ac:dyDescent="0.15">
      <c r="A1364" s="599"/>
      <c r="B1364" s="670"/>
      <c r="C1364" s="164" t="s">
        <v>1537</v>
      </c>
      <c r="D1364" s="165"/>
      <c r="E1364" s="164" t="s">
        <v>1507</v>
      </c>
      <c r="F1364" s="455" t="s">
        <v>1506</v>
      </c>
      <c r="G1364" s="556">
        <v>0.19</v>
      </c>
      <c r="H1364" s="463" t="str">
        <f t="shared" ref="H1364" si="1654">CONCATENATE(C1364,E1364,F1364)</f>
        <v>H/W시험사설치인</v>
      </c>
      <c r="I1364" s="671" t="str">
        <f>CONCATENATE(C1364,E1364,F1364)</f>
        <v>H/W시험사설치인</v>
      </c>
      <c r="J1364" s="506" t="str">
        <f>IF(OR($F1364="인",$F1364=""),"",VLOOKUP($H1364,단가!$A:$S,19,FALSE))</f>
        <v/>
      </c>
      <c r="K1364" s="507" t="str">
        <f>IF(J1364="","",TRUNC($G1364*J1364,0))</f>
        <v/>
      </c>
      <c r="L1364" s="506">
        <f>IF($F1364="인",VLOOKUP($C:$C,노임!$C:$G,4,FALSE),"")</f>
        <v>250248</v>
      </c>
      <c r="M1364" s="507">
        <f>IF(L1364="","",TRUNC($G1364*L1364,0))</f>
        <v>47547</v>
      </c>
      <c r="N1364" s="507"/>
      <c r="O1364" s="507" t="str">
        <f>IF(N1364="","",TRUNC($G1364*N1364,0))</f>
        <v/>
      </c>
      <c r="P1364" s="508"/>
      <c r="Q1364" s="509" t="str">
        <f>IF(F1364="인","노임"&amp;VLOOKUP($C:$C,노임!C:G,5,FALSE)&amp;"번","단가"&amp;VLOOKUP($H:$H,단가!$A:$B,2,FALSE)&amp;"번")</f>
        <v>노임2002번</v>
      </c>
      <c r="R1364" s="510"/>
      <c r="S1364" s="131"/>
      <c r="T1364" s="599" t="str">
        <f t="shared" ref="T1364" si="1655">CONCATENATE(Q1364,R1364)</f>
        <v>노임2002번</v>
      </c>
      <c r="V1364" s="631"/>
      <c r="W1364" s="471">
        <f t="shared" si="1653"/>
        <v>53</v>
      </c>
      <c r="X1364" s="471" t="e">
        <f t="shared" si="1653"/>
        <v>#REF!</v>
      </c>
      <c r="Y1364" s="471" t="e">
        <f t="shared" ref="Y1364" si="1656">X1364-W1364</f>
        <v>#REF!</v>
      </c>
      <c r="Z1364" s="471"/>
      <c r="AA1364" s="471"/>
      <c r="AB1364" s="435"/>
    </row>
    <row r="1365" spans="1:28" s="599" customFormat="1" ht="15.75" customHeight="1" x14ac:dyDescent="0.15">
      <c r="B1365" s="670"/>
      <c r="C1365" s="212"/>
      <c r="D1365" s="213"/>
      <c r="E1365" s="602"/>
      <c r="F1365" s="207"/>
      <c r="G1365" s="556"/>
      <c r="H1365" s="463" t="str">
        <f t="shared" si="1603"/>
        <v/>
      </c>
      <c r="I1365" s="671"/>
      <c r="J1365" s="506"/>
      <c r="K1365" s="507"/>
      <c r="L1365" s="506"/>
      <c r="M1365" s="507"/>
      <c r="N1365" s="507"/>
      <c r="O1365" s="507"/>
      <c r="P1365" s="508"/>
      <c r="Q1365" s="512"/>
      <c r="R1365" s="534"/>
      <c r="S1365" s="131"/>
      <c r="T1365" s="599" t="str">
        <f t="shared" si="1604"/>
        <v/>
      </c>
      <c r="V1365" s="549"/>
      <c r="W1365" s="471">
        <f t="shared" ref="W1365:X1365" si="1657">W1364</f>
        <v>53</v>
      </c>
      <c r="X1365" s="471" t="e">
        <f t="shared" si="1657"/>
        <v>#REF!</v>
      </c>
      <c r="Y1365" s="471" t="e">
        <f t="shared" si="1606"/>
        <v>#REF!</v>
      </c>
      <c r="Z1365" s="471"/>
      <c r="AA1365" s="471"/>
      <c r="AB1365" s="435"/>
    </row>
    <row r="1366" spans="1:28" s="599" customFormat="1" ht="15.75" customHeight="1" x14ac:dyDescent="0.15">
      <c r="B1366" s="670"/>
      <c r="C1366" s="212"/>
      <c r="D1366" s="213"/>
      <c r="E1366" s="602"/>
      <c r="F1366" s="207"/>
      <c r="G1366" s="556"/>
      <c r="H1366" s="463" t="str">
        <f t="shared" si="1603"/>
        <v/>
      </c>
      <c r="I1366" s="671"/>
      <c r="J1366" s="506"/>
      <c r="K1366" s="507"/>
      <c r="L1366" s="506"/>
      <c r="M1366" s="507"/>
      <c r="N1366" s="507"/>
      <c r="O1366" s="507"/>
      <c r="P1366" s="508"/>
      <c r="Q1366" s="512"/>
      <c r="R1366" s="534"/>
      <c r="S1366" s="131"/>
      <c r="T1366" s="599" t="str">
        <f t="shared" si="1604"/>
        <v/>
      </c>
      <c r="V1366" s="549"/>
      <c r="W1366" s="471">
        <f t="shared" ref="W1366:X1366" si="1658">W1365</f>
        <v>53</v>
      </c>
      <c r="X1366" s="471" t="e">
        <f t="shared" si="1658"/>
        <v>#REF!</v>
      </c>
      <c r="Y1366" s="471" t="e">
        <f t="shared" si="1606"/>
        <v>#REF!</v>
      </c>
      <c r="Z1366" s="471"/>
      <c r="AA1366" s="471"/>
      <c r="AB1366" s="435"/>
    </row>
    <row r="1367" spans="1:28" s="599" customFormat="1" ht="15.75" customHeight="1" x14ac:dyDescent="0.15">
      <c r="B1367" s="670"/>
      <c r="C1367" s="140"/>
      <c r="D1367" s="670"/>
      <c r="E1367" s="643"/>
      <c r="F1367" s="207"/>
      <c r="G1367" s="556"/>
      <c r="H1367" s="463" t="str">
        <f t="shared" si="1603"/>
        <v/>
      </c>
      <c r="I1367" s="671"/>
      <c r="J1367" s="506"/>
      <c r="K1367" s="507"/>
      <c r="L1367" s="506"/>
      <c r="M1367" s="507"/>
      <c r="N1367" s="507"/>
      <c r="O1367" s="507"/>
      <c r="P1367" s="508"/>
      <c r="Q1367" s="512"/>
      <c r="R1367" s="534"/>
      <c r="S1367" s="131"/>
      <c r="T1367" s="599" t="str">
        <f t="shared" si="1604"/>
        <v/>
      </c>
      <c r="V1367" s="549"/>
      <c r="W1367" s="471">
        <f t="shared" ref="W1367:X1367" si="1659">W1366</f>
        <v>53</v>
      </c>
      <c r="X1367" s="471" t="e">
        <f t="shared" si="1659"/>
        <v>#REF!</v>
      </c>
      <c r="Y1367" s="471" t="e">
        <f t="shared" si="1606"/>
        <v>#REF!</v>
      </c>
      <c r="Z1367" s="471"/>
      <c r="AA1367" s="471"/>
      <c r="AB1367" s="435"/>
    </row>
    <row r="1368" spans="1:28" s="599" customFormat="1" ht="15.75" customHeight="1" x14ac:dyDescent="0.15">
      <c r="B1368" s="670"/>
      <c r="C1368" s="140"/>
      <c r="D1368" s="670"/>
      <c r="E1368" s="643"/>
      <c r="F1368" s="207"/>
      <c r="G1368" s="556"/>
      <c r="H1368" s="463" t="str">
        <f t="shared" si="1603"/>
        <v/>
      </c>
      <c r="I1368" s="671"/>
      <c r="J1368" s="506"/>
      <c r="K1368" s="507"/>
      <c r="L1368" s="506"/>
      <c r="M1368" s="507"/>
      <c r="N1368" s="507"/>
      <c r="O1368" s="507"/>
      <c r="P1368" s="508"/>
      <c r="Q1368" s="512"/>
      <c r="R1368" s="534"/>
      <c r="S1368" s="131"/>
      <c r="T1368" s="599" t="str">
        <f t="shared" si="1604"/>
        <v/>
      </c>
      <c r="V1368" s="549"/>
      <c r="W1368" s="471">
        <f t="shared" ref="W1368:X1368" si="1660">W1367</f>
        <v>53</v>
      </c>
      <c r="X1368" s="471" t="e">
        <f t="shared" si="1660"/>
        <v>#REF!</v>
      </c>
      <c r="Y1368" s="471" t="e">
        <f t="shared" si="1606"/>
        <v>#REF!</v>
      </c>
      <c r="Z1368" s="471"/>
      <c r="AA1368" s="471"/>
      <c r="AB1368" s="435"/>
    </row>
    <row r="1369" spans="1:28" s="599" customFormat="1" ht="15.75" customHeight="1" x14ac:dyDescent="0.15">
      <c r="B1369" s="670"/>
      <c r="C1369" s="140"/>
      <c r="D1369" s="670"/>
      <c r="E1369" s="643"/>
      <c r="F1369" s="207"/>
      <c r="G1369" s="556"/>
      <c r="H1369" s="463" t="str">
        <f t="shared" si="1603"/>
        <v/>
      </c>
      <c r="I1369" s="671"/>
      <c r="J1369" s="506"/>
      <c r="K1369" s="507"/>
      <c r="L1369" s="506"/>
      <c r="M1369" s="507"/>
      <c r="N1369" s="507"/>
      <c r="O1369" s="507"/>
      <c r="P1369" s="508"/>
      <c r="Q1369" s="512"/>
      <c r="R1369" s="513"/>
      <c r="S1369" s="131"/>
      <c r="T1369" s="599" t="str">
        <f t="shared" si="1604"/>
        <v/>
      </c>
      <c r="V1369" s="549"/>
      <c r="W1369" s="471">
        <f t="shared" ref="W1369:X1369" si="1661">W1368</f>
        <v>53</v>
      </c>
      <c r="X1369" s="471" t="e">
        <f t="shared" si="1661"/>
        <v>#REF!</v>
      </c>
      <c r="Y1369" s="471" t="e">
        <f t="shared" si="1606"/>
        <v>#REF!</v>
      </c>
      <c r="Z1369" s="471"/>
      <c r="AA1369" s="471"/>
      <c r="AB1369" s="435"/>
    </row>
    <row r="1370" spans="1:28" s="599" customFormat="1" ht="15.75" customHeight="1" x14ac:dyDescent="0.15">
      <c r="B1370" s="670"/>
      <c r="C1370" s="140"/>
      <c r="D1370" s="670"/>
      <c r="E1370" s="643"/>
      <c r="F1370" s="207"/>
      <c r="G1370" s="556"/>
      <c r="H1370" s="463" t="str">
        <f t="shared" si="1603"/>
        <v/>
      </c>
      <c r="I1370" s="671"/>
      <c r="J1370" s="506"/>
      <c r="K1370" s="507"/>
      <c r="L1370" s="506"/>
      <c r="M1370" s="507"/>
      <c r="N1370" s="507"/>
      <c r="O1370" s="507"/>
      <c r="P1370" s="508"/>
      <c r="Q1370" s="512"/>
      <c r="R1370" s="534"/>
      <c r="S1370" s="131"/>
      <c r="T1370" s="599" t="str">
        <f t="shared" si="1604"/>
        <v/>
      </c>
      <c r="V1370" s="549"/>
      <c r="W1370" s="471">
        <f t="shared" ref="W1370:X1370" si="1662">W1369</f>
        <v>53</v>
      </c>
      <c r="X1370" s="471" t="e">
        <f t="shared" si="1662"/>
        <v>#REF!</v>
      </c>
      <c r="Y1370" s="471" t="e">
        <f t="shared" si="1606"/>
        <v>#REF!</v>
      </c>
      <c r="Z1370" s="471"/>
      <c r="AA1370" s="471"/>
      <c r="AB1370" s="435"/>
    </row>
    <row r="1371" spans="1:28" s="599" customFormat="1" ht="15.75" customHeight="1" x14ac:dyDescent="0.15">
      <c r="B1371" s="670"/>
      <c r="C1371" s="140"/>
      <c r="D1371" s="670"/>
      <c r="E1371" s="643"/>
      <c r="F1371" s="207"/>
      <c r="G1371" s="556"/>
      <c r="H1371" s="463" t="str">
        <f t="shared" si="1603"/>
        <v/>
      </c>
      <c r="I1371" s="671"/>
      <c r="J1371" s="506"/>
      <c r="K1371" s="507"/>
      <c r="L1371" s="506"/>
      <c r="M1371" s="507"/>
      <c r="N1371" s="507"/>
      <c r="O1371" s="507"/>
      <c r="P1371" s="508"/>
      <c r="Q1371" s="512"/>
      <c r="R1371" s="534"/>
      <c r="S1371" s="131"/>
      <c r="T1371" s="599" t="str">
        <f t="shared" si="1604"/>
        <v/>
      </c>
      <c r="V1371" s="549"/>
      <c r="W1371" s="471">
        <f t="shared" ref="W1371:X1371" si="1663">W1370</f>
        <v>53</v>
      </c>
      <c r="X1371" s="471" t="e">
        <f t="shared" si="1663"/>
        <v>#REF!</v>
      </c>
      <c r="Y1371" s="471" t="e">
        <f t="shared" si="1606"/>
        <v>#REF!</v>
      </c>
      <c r="Z1371" s="471"/>
      <c r="AA1371" s="471"/>
      <c r="AB1371" s="435"/>
    </row>
    <row r="1372" spans="1:28" s="599" customFormat="1" ht="15.75" customHeight="1" x14ac:dyDescent="0.15">
      <c r="B1372" s="670"/>
      <c r="C1372" s="140"/>
      <c r="D1372" s="670"/>
      <c r="E1372" s="643"/>
      <c r="F1372" s="207"/>
      <c r="G1372" s="556"/>
      <c r="H1372" s="463" t="str">
        <f t="shared" si="1603"/>
        <v/>
      </c>
      <c r="I1372" s="671"/>
      <c r="J1372" s="506"/>
      <c r="K1372" s="507"/>
      <c r="L1372" s="506"/>
      <c r="M1372" s="507"/>
      <c r="N1372" s="507"/>
      <c r="O1372" s="507"/>
      <c r="P1372" s="508"/>
      <c r="Q1372" s="512"/>
      <c r="R1372" s="513"/>
      <c r="S1372" s="131"/>
      <c r="T1372" s="599" t="str">
        <f t="shared" si="1604"/>
        <v/>
      </c>
      <c r="V1372" s="549"/>
      <c r="W1372" s="471">
        <f t="shared" ref="W1372:X1372" si="1664">W1371</f>
        <v>53</v>
      </c>
      <c r="X1372" s="471" t="e">
        <f t="shared" si="1664"/>
        <v>#REF!</v>
      </c>
      <c r="Y1372" s="471" t="e">
        <f t="shared" si="1606"/>
        <v>#REF!</v>
      </c>
      <c r="Z1372" s="471"/>
      <c r="AA1372" s="471"/>
      <c r="AB1372" s="435"/>
    </row>
    <row r="1373" spans="1:28" s="599" customFormat="1" ht="15.75" customHeight="1" x14ac:dyDescent="0.15">
      <c r="B1373" s="670"/>
      <c r="C1373" s="140"/>
      <c r="D1373" s="670"/>
      <c r="E1373" s="643"/>
      <c r="F1373" s="207"/>
      <c r="G1373" s="556"/>
      <c r="H1373" s="463" t="str">
        <f t="shared" si="1603"/>
        <v/>
      </c>
      <c r="I1373" s="671"/>
      <c r="J1373" s="506"/>
      <c r="K1373" s="507"/>
      <c r="L1373" s="506"/>
      <c r="M1373" s="507"/>
      <c r="N1373" s="507"/>
      <c r="O1373" s="507"/>
      <c r="P1373" s="508"/>
      <c r="Q1373" s="512"/>
      <c r="R1373" s="534"/>
      <c r="S1373" s="131"/>
      <c r="T1373" s="599" t="str">
        <f t="shared" si="1604"/>
        <v/>
      </c>
      <c r="V1373" s="549"/>
      <c r="W1373" s="471">
        <f t="shared" ref="W1373:X1373" si="1665">W1372</f>
        <v>53</v>
      </c>
      <c r="X1373" s="471" t="e">
        <f t="shared" si="1665"/>
        <v>#REF!</v>
      </c>
      <c r="Y1373" s="471" t="e">
        <f t="shared" si="1606"/>
        <v>#REF!</v>
      </c>
      <c r="Z1373" s="471"/>
      <c r="AA1373" s="471"/>
      <c r="AB1373" s="435"/>
    </row>
    <row r="1374" spans="1:28" s="599" customFormat="1" ht="15.75" customHeight="1" x14ac:dyDescent="0.15">
      <c r="B1374" s="670"/>
      <c r="C1374" s="140"/>
      <c r="D1374" s="670"/>
      <c r="E1374" s="643"/>
      <c r="F1374" s="207"/>
      <c r="G1374" s="556"/>
      <c r="H1374" s="463" t="str">
        <f t="shared" si="1603"/>
        <v/>
      </c>
      <c r="I1374" s="671"/>
      <c r="J1374" s="506"/>
      <c r="K1374" s="507"/>
      <c r="L1374" s="506"/>
      <c r="M1374" s="507"/>
      <c r="N1374" s="507"/>
      <c r="O1374" s="507"/>
      <c r="P1374" s="508"/>
      <c r="Q1374" s="512"/>
      <c r="R1374" s="534"/>
      <c r="S1374" s="131"/>
      <c r="T1374" s="599" t="str">
        <f t="shared" si="1604"/>
        <v/>
      </c>
      <c r="V1374" s="549"/>
      <c r="W1374" s="471">
        <f t="shared" ref="W1374:X1374" si="1666">W1373</f>
        <v>53</v>
      </c>
      <c r="X1374" s="471" t="e">
        <f t="shared" si="1666"/>
        <v>#REF!</v>
      </c>
      <c r="Y1374" s="471" t="e">
        <f t="shared" si="1606"/>
        <v>#REF!</v>
      </c>
      <c r="Z1374" s="471"/>
      <c r="AA1374" s="471"/>
      <c r="AB1374" s="435"/>
    </row>
    <row r="1375" spans="1:28" s="599" customFormat="1" ht="15.75" customHeight="1" x14ac:dyDescent="0.15">
      <c r="B1375" s="670"/>
      <c r="C1375" s="140"/>
      <c r="D1375" s="670"/>
      <c r="E1375" s="643"/>
      <c r="F1375" s="207"/>
      <c r="G1375" s="556"/>
      <c r="H1375" s="463" t="str">
        <f t="shared" si="1603"/>
        <v/>
      </c>
      <c r="I1375" s="671"/>
      <c r="J1375" s="506"/>
      <c r="K1375" s="507"/>
      <c r="L1375" s="506"/>
      <c r="M1375" s="507"/>
      <c r="N1375" s="507"/>
      <c r="O1375" s="507"/>
      <c r="P1375" s="508"/>
      <c r="Q1375" s="512"/>
      <c r="R1375" s="513"/>
      <c r="S1375" s="131"/>
      <c r="T1375" s="599" t="str">
        <f t="shared" si="1604"/>
        <v/>
      </c>
      <c r="V1375" s="549"/>
      <c r="W1375" s="471">
        <f t="shared" ref="W1375:X1375" si="1667">W1374</f>
        <v>53</v>
      </c>
      <c r="X1375" s="471" t="e">
        <f t="shared" si="1667"/>
        <v>#REF!</v>
      </c>
      <c r="Y1375" s="471" t="e">
        <f t="shared" si="1606"/>
        <v>#REF!</v>
      </c>
      <c r="Z1375" s="471"/>
      <c r="AA1375" s="471"/>
      <c r="AB1375" s="435"/>
    </row>
    <row r="1376" spans="1:28" s="599" customFormat="1" ht="15.75" customHeight="1" x14ac:dyDescent="0.15">
      <c r="B1376" s="514" t="s">
        <v>801</v>
      </c>
      <c r="C1376" s="515"/>
      <c r="D1376" s="516"/>
      <c r="E1376" s="517"/>
      <c r="F1376" s="518"/>
      <c r="G1376" s="557"/>
      <c r="H1376" s="463" t="str">
        <f t="shared" si="1603"/>
        <v/>
      </c>
      <c r="I1376" s="520">
        <f>목록!$B$59</f>
        <v>53</v>
      </c>
      <c r="J1376" s="521"/>
      <c r="K1376" s="522">
        <f>SUM(K1362:K1375)</f>
        <v>450000</v>
      </c>
      <c r="L1376" s="521"/>
      <c r="M1376" s="522">
        <f>SUM(M1362:M1375)</f>
        <v>99426</v>
      </c>
      <c r="N1376" s="521"/>
      <c r="O1376" s="522">
        <f>SUM(O1362:O1375)</f>
        <v>0</v>
      </c>
      <c r="P1376" s="523"/>
      <c r="Q1376" s="512"/>
      <c r="R1376" s="513"/>
      <c r="S1376" s="524"/>
      <c r="T1376" s="599" t="str">
        <f t="shared" si="1604"/>
        <v/>
      </c>
      <c r="V1376" s="549"/>
      <c r="W1376" s="471">
        <f t="shared" ref="W1376:X1376" si="1668">W1375</f>
        <v>53</v>
      </c>
      <c r="X1376" s="471" t="e">
        <f t="shared" si="1668"/>
        <v>#REF!</v>
      </c>
      <c r="Y1376" s="471" t="e">
        <f t="shared" si="1606"/>
        <v>#REF!</v>
      </c>
      <c r="Z1376" s="471"/>
      <c r="AA1376" s="471"/>
      <c r="AB1376" s="435"/>
    </row>
    <row r="1377" spans="1:40" s="599" customFormat="1" ht="15.75" customHeight="1" x14ac:dyDescent="0.15">
      <c r="B1377" s="453"/>
      <c r="C1377" s="630"/>
      <c r="D1377" s="670"/>
      <c r="E1377" s="643"/>
      <c r="F1377" s="207"/>
      <c r="G1377" s="556"/>
      <c r="H1377" s="463" t="str">
        <f t="shared" si="1603"/>
        <v/>
      </c>
      <c r="I1377" s="671"/>
      <c r="J1377" s="506"/>
      <c r="K1377" s="507"/>
      <c r="L1377" s="506"/>
      <c r="M1377" s="507"/>
      <c r="N1377" s="507"/>
      <c r="O1377" s="507"/>
      <c r="P1377" s="508"/>
      <c r="Q1377" s="512"/>
      <c r="R1377" s="513"/>
      <c r="S1377" s="131"/>
      <c r="T1377" s="599" t="str">
        <f t="shared" si="1604"/>
        <v/>
      </c>
      <c r="V1377" s="549"/>
      <c r="W1377" s="615">
        <f t="shared" ref="W1377:X1377" si="1669">W1376</f>
        <v>53</v>
      </c>
      <c r="X1377" s="471" t="e">
        <f t="shared" si="1669"/>
        <v>#REF!</v>
      </c>
      <c r="Y1377" s="471" t="e">
        <f t="shared" si="1606"/>
        <v>#REF!</v>
      </c>
      <c r="Z1377" s="471"/>
      <c r="AA1377" s="471"/>
      <c r="AB1377" s="435"/>
    </row>
    <row r="1378" spans="1:40" s="599" customFormat="1" ht="15.75" customHeight="1" x14ac:dyDescent="0.15">
      <c r="A1378" s="473"/>
      <c r="B1378" s="453"/>
      <c r="C1378" s="540" t="s">
        <v>1538</v>
      </c>
      <c r="D1378" s="670"/>
      <c r="E1378" s="643"/>
      <c r="F1378" s="207"/>
      <c r="G1378" s="556"/>
      <c r="H1378" s="463" t="str">
        <f t="shared" si="1603"/>
        <v>※ 정보통신표준품셈 9-2-1-2 통합관제센터 ((3)LED-DLP 큐브 및 기타설비 KVM Switch)</v>
      </c>
      <c r="I1378" s="671"/>
      <c r="J1378" s="506"/>
      <c r="K1378" s="507"/>
      <c r="L1378" s="506"/>
      <c r="M1378" s="507"/>
      <c r="N1378" s="507"/>
      <c r="O1378" s="507"/>
      <c r="P1378" s="508"/>
      <c r="Q1378" s="512"/>
      <c r="R1378" s="513"/>
      <c r="S1378" s="131"/>
      <c r="T1378" s="599" t="str">
        <f t="shared" si="1604"/>
        <v/>
      </c>
      <c r="V1378" s="631"/>
      <c r="W1378" s="471">
        <f t="shared" ref="W1378:X1378" si="1670">W1377</f>
        <v>53</v>
      </c>
      <c r="X1378" s="471" t="e">
        <f t="shared" si="1670"/>
        <v>#REF!</v>
      </c>
      <c r="Y1378" s="471" t="e">
        <f t="shared" si="1606"/>
        <v>#REF!</v>
      </c>
      <c r="Z1378" s="471"/>
      <c r="AA1378" s="471"/>
      <c r="AB1378" s="435"/>
    </row>
    <row r="1379" spans="1:40" s="599" customFormat="1" ht="15.75" customHeight="1" x14ac:dyDescent="0.15">
      <c r="B1379" s="514"/>
      <c r="C1379" s="630"/>
      <c r="D1379" s="516"/>
      <c r="E1379" s="517"/>
      <c r="F1379" s="518"/>
      <c r="G1379" s="557"/>
      <c r="H1379" s="463" t="str">
        <f t="shared" si="1603"/>
        <v/>
      </c>
      <c r="I1379" s="520"/>
      <c r="J1379" s="521"/>
      <c r="K1379" s="522"/>
      <c r="L1379" s="521"/>
      <c r="M1379" s="522"/>
      <c r="N1379" s="521"/>
      <c r="O1379" s="522"/>
      <c r="P1379" s="523"/>
      <c r="Q1379" s="512"/>
      <c r="R1379" s="513"/>
      <c r="S1379" s="524"/>
      <c r="T1379" s="599" t="str">
        <f t="shared" si="1604"/>
        <v/>
      </c>
      <c r="U1379" s="473"/>
      <c r="W1379" s="471">
        <f t="shared" ref="W1379:X1379" si="1671">W1378</f>
        <v>53</v>
      </c>
      <c r="X1379" s="471" t="e">
        <f t="shared" si="1671"/>
        <v>#REF!</v>
      </c>
      <c r="Y1379" s="471" t="e">
        <f t="shared" si="1606"/>
        <v>#REF!</v>
      </c>
      <c r="Z1379" s="471"/>
      <c r="AA1379" s="471"/>
      <c r="AB1379" s="435"/>
      <c r="AC1379" s="473"/>
      <c r="AD1379" s="473"/>
      <c r="AE1379" s="473"/>
      <c r="AF1379" s="473"/>
      <c r="AG1379" s="473"/>
      <c r="AH1379" s="473"/>
      <c r="AI1379" s="473"/>
      <c r="AJ1379" s="473"/>
      <c r="AK1379" s="473"/>
      <c r="AL1379" s="473"/>
      <c r="AM1379" s="473"/>
      <c r="AN1379" s="473"/>
    </row>
    <row r="1380" spans="1:40" s="473" customFormat="1" ht="15.75" customHeight="1" x14ac:dyDescent="0.15">
      <c r="A1380" s="599"/>
      <c r="C1380" s="458"/>
      <c r="D1380" s="459"/>
      <c r="E1380" s="460"/>
      <c r="F1380" s="461"/>
      <c r="G1380" s="553"/>
      <c r="H1380" s="463" t="str">
        <f t="shared" ref="H1380:H1405" si="1672">CONCATENATE(C1380,E1380,F1380)</f>
        <v/>
      </c>
      <c r="I1380" s="464"/>
      <c r="J1380" s="465"/>
      <c r="K1380" s="465"/>
      <c r="L1380" s="465"/>
      <c r="M1380" s="465"/>
      <c r="N1380" s="465"/>
      <c r="O1380" s="466"/>
      <c r="P1380" s="467"/>
      <c r="Q1380" s="468"/>
      <c r="R1380" s="526"/>
      <c r="S1380" s="467"/>
      <c r="T1380" s="599" t="str">
        <f t="shared" ref="T1380:T1405" si="1673">CONCATENATE(Q1380,R1380)</f>
        <v/>
      </c>
      <c r="U1380" s="599"/>
      <c r="V1380" s="599"/>
      <c r="W1380" s="533">
        <f t="shared" ref="W1380" si="1674">I1402</f>
        <v>54</v>
      </c>
      <c r="X1380" s="533" t="e">
        <f>#REF!+1</f>
        <v>#REF!</v>
      </c>
      <c r="Y1380" s="533" t="e">
        <f t="shared" ref="Y1380:Y1405" si="1675">X1380-W1380</f>
        <v>#REF!</v>
      </c>
      <c r="Z1380" s="533"/>
      <c r="AA1380" s="533"/>
      <c r="AB1380" s="435"/>
      <c r="AC1380" s="599"/>
      <c r="AD1380" s="599"/>
      <c r="AE1380" s="599"/>
      <c r="AF1380" s="599"/>
      <c r="AG1380" s="599"/>
      <c r="AH1380" s="599"/>
      <c r="AI1380" s="599"/>
      <c r="AJ1380" s="599"/>
      <c r="AK1380" s="599"/>
      <c r="AL1380" s="599"/>
      <c r="AM1380" s="599"/>
      <c r="AN1380" s="599"/>
    </row>
    <row r="1381" spans="1:40" s="599" customFormat="1" ht="15.75" customHeight="1" x14ac:dyDescent="0.15">
      <c r="A1381" s="473"/>
      <c r="B1381" s="473"/>
      <c r="C1381" s="746" t="str">
        <f>"   항목번호 : "&amp;목록!L$60</f>
        <v xml:space="preserve">   항목번호 : 제54호표</v>
      </c>
      <c r="D1381" s="475">
        <f>목록!B$54</f>
        <v>48</v>
      </c>
      <c r="E1381" s="476"/>
      <c r="F1381" s="477"/>
      <c r="G1381" s="554"/>
      <c r="H1381" s="463" t="str">
        <f t="shared" si="1672"/>
        <v xml:space="preserve">   항목번호 : 제54호표</v>
      </c>
      <c r="I1381" s="479"/>
      <c r="J1381" s="488"/>
      <c r="K1381" s="481"/>
      <c r="L1381" s="482"/>
      <c r="M1381" s="482"/>
      <c r="N1381" s="482"/>
      <c r="O1381" s="466"/>
      <c r="P1381" s="483"/>
      <c r="Q1381" s="654"/>
      <c r="R1381" s="485"/>
      <c r="S1381" s="483"/>
      <c r="T1381" s="599" t="str">
        <f t="shared" si="1673"/>
        <v/>
      </c>
      <c r="V1381" s="631"/>
      <c r="W1381" s="471">
        <f t="shared" ref="W1381:X1381" si="1676">W1380</f>
        <v>54</v>
      </c>
      <c r="X1381" s="471" t="e">
        <f t="shared" si="1676"/>
        <v>#REF!</v>
      </c>
      <c r="Y1381" s="471" t="e">
        <f t="shared" si="1675"/>
        <v>#REF!</v>
      </c>
      <c r="Z1381" s="471"/>
      <c r="AA1381" s="471"/>
      <c r="AB1381" s="435"/>
    </row>
    <row r="1382" spans="1:40" s="599" customFormat="1" ht="15.75" customHeight="1" x14ac:dyDescent="0.15">
      <c r="A1382" s="473"/>
      <c r="B1382" s="473"/>
      <c r="C1382" s="746" t="str">
        <f>"   공      종 : "&amp;목록!D$60</f>
        <v xml:space="preserve">   공      종 : BUTTON CONTROLLER</v>
      </c>
      <c r="D1382" s="654"/>
      <c r="E1382" s="476"/>
      <c r="F1382" s="473"/>
      <c r="G1382" s="554"/>
      <c r="H1382" s="463" t="str">
        <f t="shared" si="1672"/>
        <v xml:space="preserve">   공      종 : BUTTON CONTROLLER</v>
      </c>
      <c r="I1382" s="479"/>
      <c r="J1382" s="488"/>
      <c r="K1382" s="481"/>
      <c r="L1382" s="482"/>
      <c r="M1382" s="482"/>
      <c r="N1382" s="482"/>
      <c r="O1382" s="466"/>
      <c r="P1382" s="483"/>
      <c r="Q1382" s="654"/>
      <c r="R1382" s="485"/>
      <c r="S1382" s="483"/>
      <c r="T1382" s="599" t="str">
        <f t="shared" si="1673"/>
        <v/>
      </c>
      <c r="U1382" s="473"/>
      <c r="W1382" s="471">
        <f t="shared" ref="W1382:X1382" si="1677">W1381</f>
        <v>54</v>
      </c>
      <c r="X1382" s="471" t="e">
        <f t="shared" si="1677"/>
        <v>#REF!</v>
      </c>
      <c r="Y1382" s="471" t="e">
        <f t="shared" si="1675"/>
        <v>#REF!</v>
      </c>
      <c r="Z1382" s="471"/>
      <c r="AA1382" s="471"/>
      <c r="AB1382" s="435"/>
      <c r="AC1382" s="473"/>
      <c r="AD1382" s="473"/>
      <c r="AE1382" s="473"/>
      <c r="AF1382" s="473"/>
      <c r="AG1382" s="473"/>
      <c r="AH1382" s="473"/>
      <c r="AI1382" s="473"/>
      <c r="AJ1382" s="473"/>
      <c r="AK1382" s="473"/>
      <c r="AL1382" s="473"/>
      <c r="AM1382" s="473"/>
      <c r="AN1382" s="473"/>
    </row>
    <row r="1383" spans="1:40" s="473" customFormat="1" ht="15.75" customHeight="1" x14ac:dyDescent="0.15">
      <c r="C1383" s="746" t="str">
        <f xml:space="preserve"> "   규      격 : "&amp;목록!F$60</f>
        <v xml:space="preserve">   규      격 : 제작</v>
      </c>
      <c r="D1383" s="654"/>
      <c r="E1383" s="476"/>
      <c r="G1383" s="554"/>
      <c r="H1383" s="463" t="str">
        <f t="shared" si="1672"/>
        <v xml:space="preserve">   규      격 : 제작</v>
      </c>
      <c r="I1383" s="479"/>
      <c r="J1383" s="488" t="s">
        <v>348</v>
      </c>
      <c r="K1383" s="481"/>
      <c r="L1383" s="482" t="s">
        <v>349</v>
      </c>
      <c r="M1383" s="482"/>
      <c r="N1383" s="482" t="s">
        <v>240</v>
      </c>
      <c r="O1383" s="466"/>
      <c r="P1383" s="483"/>
      <c r="Q1383" s="654" t="s">
        <v>764</v>
      </c>
      <c r="R1383" s="654"/>
      <c r="S1383" s="483"/>
      <c r="T1383" s="599" t="str">
        <f t="shared" si="1673"/>
        <v>합계</v>
      </c>
      <c r="V1383" s="599"/>
      <c r="W1383" s="471">
        <f t="shared" ref="W1383:X1383" si="1678">W1382</f>
        <v>54</v>
      </c>
      <c r="X1383" s="471" t="e">
        <f t="shared" si="1678"/>
        <v>#REF!</v>
      </c>
      <c r="Y1383" s="471" t="e">
        <f t="shared" si="1675"/>
        <v>#REF!</v>
      </c>
      <c r="Z1383" s="471"/>
      <c r="AA1383" s="471"/>
      <c r="AB1383" s="435"/>
    </row>
    <row r="1384" spans="1:40" s="473" customFormat="1" ht="15.75" customHeight="1" x14ac:dyDescent="0.15">
      <c r="C1384" s="746" t="str">
        <f>"   단      위 : "&amp;목록!G$60</f>
        <v xml:space="preserve">   단      위 : EA</v>
      </c>
      <c r="D1384" s="654"/>
      <c r="E1384" s="476"/>
      <c r="G1384" s="554"/>
      <c r="H1384" s="463" t="str">
        <f t="shared" si="1672"/>
        <v xml:space="preserve">   단      위 : EA</v>
      </c>
      <c r="I1384" s="479"/>
      <c r="J1384" s="489">
        <f>K1402</f>
        <v>900000</v>
      </c>
      <c r="K1384" s="481"/>
      <c r="L1384" s="487">
        <f>M1402</f>
        <v>110489</v>
      </c>
      <c r="M1384" s="482"/>
      <c r="N1384" s="482">
        <f>O1402</f>
        <v>0</v>
      </c>
      <c r="O1384" s="466"/>
      <c r="P1384" s="483"/>
      <c r="Q1384" s="488">
        <f>J1384+L1384+N1384</f>
        <v>1010489</v>
      </c>
      <c r="R1384" s="489"/>
      <c r="S1384" s="483"/>
      <c r="T1384" s="599" t="str">
        <f t="shared" si="1673"/>
        <v>1010489</v>
      </c>
      <c r="V1384" s="599"/>
      <c r="W1384" s="471">
        <f t="shared" ref="W1384:X1384" si="1679">W1383</f>
        <v>54</v>
      </c>
      <c r="X1384" s="471" t="e">
        <f t="shared" si="1679"/>
        <v>#REF!</v>
      </c>
      <c r="Y1384" s="471" t="e">
        <f t="shared" si="1675"/>
        <v>#REF!</v>
      </c>
      <c r="Z1384" s="471"/>
      <c r="AA1384" s="471"/>
      <c r="AB1384" s="435"/>
    </row>
    <row r="1385" spans="1:40" s="473" customFormat="1" ht="15.75" customHeight="1" x14ac:dyDescent="0.15">
      <c r="C1385" s="746"/>
      <c r="D1385" s="654"/>
      <c r="E1385" s="476"/>
      <c r="G1385" s="555"/>
      <c r="H1385" s="463" t="str">
        <f t="shared" si="1672"/>
        <v/>
      </c>
      <c r="I1385" s="491"/>
      <c r="J1385" s="482"/>
      <c r="K1385" s="465"/>
      <c r="L1385" s="482"/>
      <c r="M1385" s="482"/>
      <c r="N1385" s="482"/>
      <c r="O1385" s="466"/>
      <c r="P1385" s="492"/>
      <c r="Q1385" s="493"/>
      <c r="R1385" s="485"/>
      <c r="S1385" s="492"/>
      <c r="T1385" s="599" t="str">
        <f t="shared" si="1673"/>
        <v/>
      </c>
      <c r="V1385" s="599"/>
      <c r="W1385" s="471">
        <f t="shared" ref="W1385:X1385" si="1680">W1384</f>
        <v>54</v>
      </c>
      <c r="X1385" s="471" t="e">
        <f t="shared" si="1680"/>
        <v>#REF!</v>
      </c>
      <c r="Y1385" s="471" t="e">
        <f t="shared" si="1675"/>
        <v>#REF!</v>
      </c>
      <c r="Z1385" s="471"/>
      <c r="AA1385" s="471"/>
      <c r="AB1385" s="435"/>
    </row>
    <row r="1386" spans="1:40" s="473" customFormat="1" ht="15.75" customHeight="1" x14ac:dyDescent="0.15">
      <c r="B1386" s="899" t="s">
        <v>375</v>
      </c>
      <c r="C1386" s="900"/>
      <c r="D1386" s="907" t="s">
        <v>356</v>
      </c>
      <c r="E1386" s="908"/>
      <c r="F1386" s="903" t="s">
        <v>788</v>
      </c>
      <c r="G1386" s="911" t="s">
        <v>789</v>
      </c>
      <c r="H1386" s="463" t="str">
        <f t="shared" si="1672"/>
        <v>단위</v>
      </c>
      <c r="I1386" s="623"/>
      <c r="J1386" s="495" t="s">
        <v>348</v>
      </c>
      <c r="K1386" s="496"/>
      <c r="L1386" s="495" t="s">
        <v>349</v>
      </c>
      <c r="M1386" s="496"/>
      <c r="N1386" s="497" t="s">
        <v>240</v>
      </c>
      <c r="O1386" s="497"/>
      <c r="P1386" s="498"/>
      <c r="Q1386" s="862" t="s">
        <v>355</v>
      </c>
      <c r="R1386" s="862"/>
      <c r="S1386" s="499"/>
      <c r="T1386" s="599" t="str">
        <f t="shared" si="1673"/>
        <v>비  고</v>
      </c>
      <c r="V1386" s="599"/>
      <c r="W1386" s="471">
        <f t="shared" ref="W1386:X1386" si="1681">W1385</f>
        <v>54</v>
      </c>
      <c r="X1386" s="471" t="e">
        <f t="shared" si="1681"/>
        <v>#REF!</v>
      </c>
      <c r="Y1386" s="471" t="e">
        <f t="shared" si="1675"/>
        <v>#REF!</v>
      </c>
      <c r="Z1386" s="471"/>
      <c r="AA1386" s="471"/>
      <c r="AB1386" s="435"/>
    </row>
    <row r="1387" spans="1:40" s="473" customFormat="1" ht="15.75" customHeight="1" x14ac:dyDescent="0.15">
      <c r="B1387" s="901"/>
      <c r="C1387" s="902"/>
      <c r="D1387" s="909"/>
      <c r="E1387" s="910"/>
      <c r="F1387" s="904"/>
      <c r="G1387" s="912"/>
      <c r="H1387" s="463" t="str">
        <f t="shared" si="1672"/>
        <v/>
      </c>
      <c r="I1387" s="624"/>
      <c r="J1387" s="501" t="s">
        <v>353</v>
      </c>
      <c r="K1387" s="501" t="s">
        <v>354</v>
      </c>
      <c r="L1387" s="501" t="s">
        <v>353</v>
      </c>
      <c r="M1387" s="749" t="s">
        <v>354</v>
      </c>
      <c r="N1387" s="501" t="s">
        <v>353</v>
      </c>
      <c r="O1387" s="501" t="s">
        <v>354</v>
      </c>
      <c r="P1387" s="861"/>
      <c r="Q1387" s="863"/>
      <c r="R1387" s="863"/>
      <c r="S1387" s="504"/>
      <c r="T1387" s="599" t="str">
        <f t="shared" si="1673"/>
        <v/>
      </c>
      <c r="V1387" s="599"/>
      <c r="W1387" s="471">
        <f t="shared" ref="W1387:X1387" si="1682">W1386</f>
        <v>54</v>
      </c>
      <c r="X1387" s="471" t="e">
        <f t="shared" si="1682"/>
        <v>#REF!</v>
      </c>
      <c r="Y1387" s="471" t="e">
        <f t="shared" si="1675"/>
        <v>#REF!</v>
      </c>
      <c r="Z1387" s="471"/>
      <c r="AA1387" s="471"/>
      <c r="AB1387" s="435"/>
    </row>
    <row r="1388" spans="1:40" s="473" customFormat="1" ht="15.75" customHeight="1" x14ac:dyDescent="0.15">
      <c r="A1388" s="599"/>
      <c r="B1388" s="670"/>
      <c r="C1388" s="629" t="s">
        <v>1529</v>
      </c>
      <c r="D1388" s="670"/>
      <c r="E1388" s="629" t="s">
        <v>1530</v>
      </c>
      <c r="F1388" s="207" t="s">
        <v>352</v>
      </c>
      <c r="G1388" s="556">
        <v>1</v>
      </c>
      <c r="H1388" s="463" t="str">
        <f t="shared" si="1672"/>
        <v>BUTTON CONTROLLER제작EA</v>
      </c>
      <c r="I1388" s="671" t="str">
        <f>CONCATENATE(C1388,E1388,F1388)</f>
        <v>BUTTON CONTROLLER제작EA</v>
      </c>
      <c r="J1388" s="506">
        <f>IF(OR($F1388="인",$F1388=""),"",VLOOKUP($H1388,단가!$A:$S,19,FALSE))</f>
        <v>900000</v>
      </c>
      <c r="K1388" s="507">
        <f>IF(J1388="","",TRUNC($G1388*J1388,0))</f>
        <v>900000</v>
      </c>
      <c r="L1388" s="506" t="str">
        <f>IF($F1388="인",VLOOKUP($C:$C,노임!$C:$G,4,FALSE),"")</f>
        <v/>
      </c>
      <c r="M1388" s="507" t="str">
        <f>IF(L1388="","",TRUNC($G1388*L1388,0))</f>
        <v/>
      </c>
      <c r="N1388" s="507"/>
      <c r="O1388" s="507" t="str">
        <f>IF(N1388="","",TRUNC($G1388*N1388,0))</f>
        <v/>
      </c>
      <c r="P1388" s="508"/>
      <c r="Q1388" s="509" t="str">
        <f>IF(F1388="인","노임"&amp;VLOOKUP($C:$C,노임!C:G,5,FALSE)&amp;"번","단가"&amp;VLOOKUP($H:$H,단가!$A:$B,2,FALSE)&amp;"번")</f>
        <v>단가122번</v>
      </c>
      <c r="R1388" s="510"/>
      <c r="S1388" s="131"/>
      <c r="T1388" s="599" t="str">
        <f t="shared" si="1673"/>
        <v>단가122번</v>
      </c>
      <c r="V1388" s="631"/>
      <c r="W1388" s="471">
        <f t="shared" ref="W1388:X1388" si="1683">W1387</f>
        <v>54</v>
      </c>
      <c r="X1388" s="471" t="e">
        <f t="shared" si="1683"/>
        <v>#REF!</v>
      </c>
      <c r="Y1388" s="471" t="e">
        <f t="shared" si="1675"/>
        <v>#REF!</v>
      </c>
      <c r="Z1388" s="471"/>
      <c r="AA1388" s="471"/>
      <c r="AB1388" s="435"/>
    </row>
    <row r="1389" spans="1:40" s="473" customFormat="1" ht="15.75" customHeight="1" x14ac:dyDescent="0.15">
      <c r="A1389" s="599"/>
      <c r="B1389" s="670"/>
      <c r="C1389" s="164" t="s">
        <v>1508</v>
      </c>
      <c r="D1389" s="165"/>
      <c r="E1389" s="164" t="s">
        <v>1507</v>
      </c>
      <c r="F1389" s="455" t="s">
        <v>1506</v>
      </c>
      <c r="G1389" s="556">
        <v>0.16</v>
      </c>
      <c r="H1389" s="463" t="str">
        <f t="shared" si="1672"/>
        <v>통신설비공설치인</v>
      </c>
      <c r="I1389" s="671" t="str">
        <f>CONCATENATE(C1389,E1389,F1389)</f>
        <v>통신설비공설치인</v>
      </c>
      <c r="J1389" s="506" t="str">
        <f>IF(OR($F1389="인",$F1389=""),"",VLOOKUP($H1389,단가!$A:$S,19,FALSE))</f>
        <v/>
      </c>
      <c r="K1389" s="507" t="str">
        <f>IF(J1389="","",TRUNC($G1389*J1389,0))</f>
        <v/>
      </c>
      <c r="L1389" s="506">
        <f>IF($F1389="인",VLOOKUP($C:$C,노임!$C:$G,4,FALSE),"")</f>
        <v>193302</v>
      </c>
      <c r="M1389" s="507">
        <f>IF(L1389="","",TRUNC($G1389*L1389,0))</f>
        <v>30928</v>
      </c>
      <c r="N1389" s="507"/>
      <c r="O1389" s="507" t="str">
        <f>IF(N1389="","",TRUNC($G1389*N1389,0))</f>
        <v/>
      </c>
      <c r="P1389" s="508"/>
      <c r="Q1389" s="509" t="str">
        <f>IF(F1389="인","노임"&amp;VLOOKUP($C:$C,노임!C:G,5,FALSE)&amp;"번","단가"&amp;VLOOKUP($H:$H,단가!$A:$B,2,FALSE)&amp;"번")</f>
        <v>노임1087번</v>
      </c>
      <c r="R1389" s="510"/>
      <c r="S1389" s="131"/>
      <c r="T1389" s="599" t="str">
        <f t="shared" si="1673"/>
        <v>노임1087번</v>
      </c>
      <c r="V1389" s="631"/>
      <c r="W1389" s="471">
        <f t="shared" ref="W1389:X1389" si="1684">W1388</f>
        <v>54</v>
      </c>
      <c r="X1389" s="471" t="e">
        <f t="shared" si="1684"/>
        <v>#REF!</v>
      </c>
      <c r="Y1389" s="471" t="e">
        <f t="shared" si="1675"/>
        <v>#REF!</v>
      </c>
      <c r="Z1389" s="471"/>
      <c r="AA1389" s="471"/>
      <c r="AB1389" s="435"/>
    </row>
    <row r="1390" spans="1:40" s="473" customFormat="1" ht="15.75" customHeight="1" x14ac:dyDescent="0.15">
      <c r="A1390" s="599"/>
      <c r="B1390" s="670"/>
      <c r="C1390" s="140" t="s">
        <v>1513</v>
      </c>
      <c r="D1390" s="670"/>
      <c r="E1390" s="643" t="s">
        <v>1514</v>
      </c>
      <c r="F1390" s="455" t="s">
        <v>1506</v>
      </c>
      <c r="G1390" s="556">
        <v>0.16</v>
      </c>
      <c r="H1390" s="463" t="str">
        <f t="shared" ref="H1390:H1391" si="1685">CONCATENATE(C1390,E1390,F1390)</f>
        <v>통신관련기사조정인</v>
      </c>
      <c r="I1390" s="671" t="str">
        <f t="shared" ref="I1390:I1391" si="1686">CONCATENATE(C1390,E1390,F1390)</f>
        <v>통신관련기사조정인</v>
      </c>
      <c r="J1390" s="506" t="str">
        <f>IF(OR($F1390="인",$F1390=""),"",VLOOKUP($H1390,단가!$A:$S,19,FALSE))</f>
        <v/>
      </c>
      <c r="K1390" s="507" t="str">
        <f t="shared" ref="K1390:K1391" si="1687">IF(J1390="","",TRUNC($G1390*J1390,0))</f>
        <v/>
      </c>
      <c r="L1390" s="506">
        <f>IF($F1390="인",VLOOKUP($C:$C,노임!$C:$G,4,FALSE),"")</f>
        <v>224214</v>
      </c>
      <c r="M1390" s="507">
        <f t="shared" ref="M1390:M1391" si="1688">IF(L1390="","",TRUNC($G1390*L1390,0))</f>
        <v>35874</v>
      </c>
      <c r="N1390" s="507"/>
      <c r="O1390" s="507" t="str">
        <f t="shared" ref="O1390:O1391" si="1689">IF(N1390="","",TRUNC($G1390*N1390,0))</f>
        <v/>
      </c>
      <c r="P1390" s="508"/>
      <c r="Q1390" s="509" t="str">
        <f>IF(F1390="인","노임"&amp;VLOOKUP($C:$C,노임!C:G,5,FALSE)&amp;"번","단가"&amp;VLOOKUP($H:$H,단가!$A:$B,2,FALSE)&amp;"번")</f>
        <v>노임5001번</v>
      </c>
      <c r="R1390" s="510"/>
      <c r="S1390" s="131"/>
      <c r="T1390" s="599" t="str">
        <f t="shared" ref="T1390:T1391" si="1690">CONCATENATE(Q1390,R1390)</f>
        <v>노임5001번</v>
      </c>
      <c r="U1390" s="599"/>
      <c r="V1390" s="549"/>
      <c r="W1390" s="471">
        <f t="shared" ref="W1390:X1390" si="1691">W1389</f>
        <v>54</v>
      </c>
      <c r="X1390" s="471" t="e">
        <f t="shared" si="1691"/>
        <v>#REF!</v>
      </c>
      <c r="Y1390" s="471" t="e">
        <f t="shared" si="1675"/>
        <v>#REF!</v>
      </c>
      <c r="Z1390" s="471"/>
      <c r="AA1390" s="471"/>
      <c r="AB1390" s="435"/>
      <c r="AC1390" s="599"/>
      <c r="AD1390" s="599"/>
      <c r="AE1390" s="599"/>
      <c r="AF1390" s="599"/>
      <c r="AG1390" s="599"/>
      <c r="AH1390" s="599"/>
      <c r="AI1390" s="599"/>
      <c r="AJ1390" s="599"/>
      <c r="AK1390" s="599"/>
      <c r="AL1390" s="599"/>
      <c r="AM1390" s="599"/>
      <c r="AN1390" s="599"/>
    </row>
    <row r="1391" spans="1:40" s="599" customFormat="1" ht="15.75" customHeight="1" x14ac:dyDescent="0.15">
      <c r="B1391" s="670"/>
      <c r="C1391" s="212" t="s">
        <v>1535</v>
      </c>
      <c r="D1391" s="213"/>
      <c r="E1391" s="602" t="s">
        <v>1516</v>
      </c>
      <c r="F1391" s="455" t="s">
        <v>1506</v>
      </c>
      <c r="G1391" s="556">
        <v>0.16</v>
      </c>
      <c r="H1391" s="463" t="str">
        <f t="shared" si="1685"/>
        <v>S/W시험사시험 및 측정인</v>
      </c>
      <c r="I1391" s="671" t="str">
        <f t="shared" si="1686"/>
        <v>S/W시험사시험 및 측정인</v>
      </c>
      <c r="J1391" s="506" t="str">
        <f>IF(OR($F1391="인",$F1391=""),"",VLOOKUP($H1391,단가!$A:$S,19,FALSE))</f>
        <v/>
      </c>
      <c r="K1391" s="507" t="str">
        <f t="shared" si="1687"/>
        <v/>
      </c>
      <c r="L1391" s="506">
        <f>IF($F1391="인",VLOOKUP($C:$C,노임!$C:$G,4,FALSE),"")</f>
        <v>273048</v>
      </c>
      <c r="M1391" s="507">
        <f t="shared" si="1688"/>
        <v>43687</v>
      </c>
      <c r="N1391" s="507"/>
      <c r="O1391" s="507" t="str">
        <f t="shared" si="1689"/>
        <v/>
      </c>
      <c r="P1391" s="508"/>
      <c r="Q1391" s="509" t="str">
        <f>IF(F1391="인","노임"&amp;VLOOKUP($C:$C,노임!C:G,5,FALSE)&amp;"번","단가"&amp;VLOOKUP($H:$H,단가!$A:$B,2,FALSE)&amp;"번")</f>
        <v>노임2003번</v>
      </c>
      <c r="R1391" s="510"/>
      <c r="S1391" s="131"/>
      <c r="T1391" s="599" t="str">
        <f t="shared" si="1690"/>
        <v>노임2003번</v>
      </c>
      <c r="V1391" s="549"/>
      <c r="W1391" s="471">
        <f t="shared" ref="W1391:X1391" si="1692">W1390</f>
        <v>54</v>
      </c>
      <c r="X1391" s="471" t="e">
        <f t="shared" si="1692"/>
        <v>#REF!</v>
      </c>
      <c r="Y1391" s="471" t="e">
        <f t="shared" si="1675"/>
        <v>#REF!</v>
      </c>
      <c r="Z1391" s="471"/>
      <c r="AA1391" s="471"/>
      <c r="AB1391" s="435"/>
    </row>
    <row r="1392" spans="1:40" s="599" customFormat="1" ht="15.75" customHeight="1" x14ac:dyDescent="0.15">
      <c r="B1392" s="670"/>
      <c r="C1392" s="212"/>
      <c r="D1392" s="213"/>
      <c r="E1392" s="602"/>
      <c r="F1392" s="207"/>
      <c r="G1392" s="556"/>
      <c r="H1392" s="463" t="str">
        <f t="shared" si="1672"/>
        <v/>
      </c>
      <c r="I1392" s="671"/>
      <c r="J1392" s="506"/>
      <c r="K1392" s="507"/>
      <c r="L1392" s="506"/>
      <c r="M1392" s="507"/>
      <c r="N1392" s="507"/>
      <c r="O1392" s="507"/>
      <c r="P1392" s="508"/>
      <c r="Q1392" s="512"/>
      <c r="R1392" s="534"/>
      <c r="S1392" s="131"/>
      <c r="T1392" s="599" t="str">
        <f t="shared" si="1673"/>
        <v/>
      </c>
      <c r="V1392" s="549"/>
      <c r="W1392" s="471">
        <f t="shared" ref="W1392:X1392" si="1693">W1391</f>
        <v>54</v>
      </c>
      <c r="X1392" s="471" t="e">
        <f t="shared" si="1693"/>
        <v>#REF!</v>
      </c>
      <c r="Y1392" s="471" t="e">
        <f t="shared" si="1675"/>
        <v>#REF!</v>
      </c>
      <c r="Z1392" s="471"/>
      <c r="AA1392" s="471"/>
      <c r="AB1392" s="435"/>
    </row>
    <row r="1393" spans="1:40" s="599" customFormat="1" ht="15.75" customHeight="1" x14ac:dyDescent="0.15">
      <c r="B1393" s="670"/>
      <c r="C1393" s="140"/>
      <c r="D1393" s="670"/>
      <c r="E1393" s="643"/>
      <c r="F1393" s="207"/>
      <c r="G1393" s="556"/>
      <c r="H1393" s="463" t="str">
        <f t="shared" si="1672"/>
        <v/>
      </c>
      <c r="I1393" s="671"/>
      <c r="J1393" s="506"/>
      <c r="K1393" s="507"/>
      <c r="L1393" s="506"/>
      <c r="M1393" s="507"/>
      <c r="N1393" s="507"/>
      <c r="O1393" s="507"/>
      <c r="P1393" s="508"/>
      <c r="Q1393" s="512"/>
      <c r="R1393" s="534"/>
      <c r="S1393" s="131"/>
      <c r="T1393" s="599" t="str">
        <f t="shared" si="1673"/>
        <v/>
      </c>
      <c r="V1393" s="549"/>
      <c r="W1393" s="471">
        <f t="shared" ref="W1393:X1393" si="1694">W1392</f>
        <v>54</v>
      </c>
      <c r="X1393" s="471" t="e">
        <f t="shared" si="1694"/>
        <v>#REF!</v>
      </c>
      <c r="Y1393" s="471" t="e">
        <f t="shared" si="1675"/>
        <v>#REF!</v>
      </c>
      <c r="Z1393" s="471"/>
      <c r="AA1393" s="471"/>
      <c r="AB1393" s="435"/>
    </row>
    <row r="1394" spans="1:40" s="599" customFormat="1" ht="15.75" customHeight="1" x14ac:dyDescent="0.15">
      <c r="B1394" s="670"/>
      <c r="C1394" s="140"/>
      <c r="D1394" s="670"/>
      <c r="E1394" s="643"/>
      <c r="F1394" s="207"/>
      <c r="G1394" s="556"/>
      <c r="H1394" s="463" t="str">
        <f t="shared" si="1672"/>
        <v/>
      </c>
      <c r="I1394" s="671"/>
      <c r="J1394" s="506"/>
      <c r="K1394" s="507"/>
      <c r="L1394" s="506"/>
      <c r="M1394" s="507"/>
      <c r="N1394" s="507"/>
      <c r="O1394" s="507"/>
      <c r="P1394" s="508"/>
      <c r="Q1394" s="512"/>
      <c r="R1394" s="534"/>
      <c r="S1394" s="131"/>
      <c r="T1394" s="599" t="str">
        <f t="shared" si="1673"/>
        <v/>
      </c>
      <c r="V1394" s="549"/>
      <c r="W1394" s="471">
        <f t="shared" ref="W1394:X1394" si="1695">W1393</f>
        <v>54</v>
      </c>
      <c r="X1394" s="471" t="e">
        <f t="shared" si="1695"/>
        <v>#REF!</v>
      </c>
      <c r="Y1394" s="471" t="e">
        <f t="shared" si="1675"/>
        <v>#REF!</v>
      </c>
      <c r="Z1394" s="471"/>
      <c r="AA1394" s="471"/>
      <c r="AB1394" s="435"/>
    </row>
    <row r="1395" spans="1:40" s="599" customFormat="1" ht="15.75" customHeight="1" x14ac:dyDescent="0.15">
      <c r="B1395" s="670"/>
      <c r="C1395" s="140"/>
      <c r="D1395" s="670"/>
      <c r="E1395" s="643"/>
      <c r="F1395" s="207"/>
      <c r="G1395" s="556"/>
      <c r="H1395" s="463" t="str">
        <f t="shared" si="1672"/>
        <v/>
      </c>
      <c r="I1395" s="671"/>
      <c r="J1395" s="506"/>
      <c r="K1395" s="507"/>
      <c r="L1395" s="506"/>
      <c r="M1395" s="507"/>
      <c r="N1395" s="507"/>
      <c r="O1395" s="507"/>
      <c r="P1395" s="508"/>
      <c r="Q1395" s="512"/>
      <c r="R1395" s="513"/>
      <c r="S1395" s="131"/>
      <c r="T1395" s="599" t="str">
        <f t="shared" si="1673"/>
        <v/>
      </c>
      <c r="V1395" s="549"/>
      <c r="W1395" s="471">
        <f t="shared" ref="W1395:X1395" si="1696">W1394</f>
        <v>54</v>
      </c>
      <c r="X1395" s="471" t="e">
        <f t="shared" si="1696"/>
        <v>#REF!</v>
      </c>
      <c r="Y1395" s="471" t="e">
        <f t="shared" si="1675"/>
        <v>#REF!</v>
      </c>
      <c r="Z1395" s="471"/>
      <c r="AA1395" s="471"/>
      <c r="AB1395" s="435"/>
    </row>
    <row r="1396" spans="1:40" s="599" customFormat="1" ht="15.75" customHeight="1" x14ac:dyDescent="0.15">
      <c r="B1396" s="670"/>
      <c r="C1396" s="140"/>
      <c r="D1396" s="670"/>
      <c r="E1396" s="643"/>
      <c r="F1396" s="207"/>
      <c r="G1396" s="556"/>
      <c r="H1396" s="463" t="str">
        <f t="shared" si="1672"/>
        <v/>
      </c>
      <c r="I1396" s="671"/>
      <c r="J1396" s="506"/>
      <c r="K1396" s="507"/>
      <c r="L1396" s="506"/>
      <c r="M1396" s="507"/>
      <c r="N1396" s="507"/>
      <c r="O1396" s="507"/>
      <c r="P1396" s="508"/>
      <c r="Q1396" s="512"/>
      <c r="R1396" s="534"/>
      <c r="S1396" s="131"/>
      <c r="T1396" s="599" t="str">
        <f t="shared" si="1673"/>
        <v/>
      </c>
      <c r="V1396" s="549"/>
      <c r="W1396" s="471">
        <f t="shared" ref="W1396:X1396" si="1697">W1395</f>
        <v>54</v>
      </c>
      <c r="X1396" s="471" t="e">
        <f t="shared" si="1697"/>
        <v>#REF!</v>
      </c>
      <c r="Y1396" s="471" t="e">
        <f t="shared" si="1675"/>
        <v>#REF!</v>
      </c>
      <c r="Z1396" s="471"/>
      <c r="AA1396" s="471"/>
      <c r="AB1396" s="435"/>
    </row>
    <row r="1397" spans="1:40" s="599" customFormat="1" ht="15.75" customHeight="1" x14ac:dyDescent="0.15">
      <c r="B1397" s="670"/>
      <c r="C1397" s="140"/>
      <c r="D1397" s="670"/>
      <c r="E1397" s="643"/>
      <c r="F1397" s="207"/>
      <c r="G1397" s="556"/>
      <c r="H1397" s="463" t="str">
        <f t="shared" si="1672"/>
        <v/>
      </c>
      <c r="I1397" s="671"/>
      <c r="J1397" s="506"/>
      <c r="K1397" s="507"/>
      <c r="L1397" s="506"/>
      <c r="M1397" s="507"/>
      <c r="N1397" s="507"/>
      <c r="O1397" s="507"/>
      <c r="P1397" s="508"/>
      <c r="Q1397" s="512"/>
      <c r="R1397" s="534"/>
      <c r="S1397" s="131"/>
      <c r="T1397" s="599" t="str">
        <f t="shared" si="1673"/>
        <v/>
      </c>
      <c r="V1397" s="549"/>
      <c r="W1397" s="471">
        <f t="shared" ref="W1397:X1397" si="1698">W1396</f>
        <v>54</v>
      </c>
      <c r="X1397" s="471" t="e">
        <f t="shared" si="1698"/>
        <v>#REF!</v>
      </c>
      <c r="Y1397" s="471" t="e">
        <f t="shared" si="1675"/>
        <v>#REF!</v>
      </c>
      <c r="Z1397" s="471"/>
      <c r="AA1397" s="471"/>
      <c r="AB1397" s="435"/>
    </row>
    <row r="1398" spans="1:40" s="599" customFormat="1" ht="15.75" customHeight="1" x14ac:dyDescent="0.15">
      <c r="B1398" s="670"/>
      <c r="C1398" s="140"/>
      <c r="D1398" s="670"/>
      <c r="E1398" s="643"/>
      <c r="F1398" s="207"/>
      <c r="G1398" s="556"/>
      <c r="H1398" s="463" t="str">
        <f t="shared" si="1672"/>
        <v/>
      </c>
      <c r="I1398" s="671"/>
      <c r="J1398" s="506"/>
      <c r="K1398" s="507"/>
      <c r="L1398" s="506"/>
      <c r="M1398" s="507"/>
      <c r="N1398" s="507"/>
      <c r="O1398" s="507"/>
      <c r="P1398" s="508"/>
      <c r="Q1398" s="512"/>
      <c r="R1398" s="513"/>
      <c r="S1398" s="131"/>
      <c r="T1398" s="599" t="str">
        <f t="shared" si="1673"/>
        <v/>
      </c>
      <c r="V1398" s="549"/>
      <c r="W1398" s="471">
        <f t="shared" ref="W1398:X1398" si="1699">W1397</f>
        <v>54</v>
      </c>
      <c r="X1398" s="471" t="e">
        <f t="shared" si="1699"/>
        <v>#REF!</v>
      </c>
      <c r="Y1398" s="471" t="e">
        <f t="shared" si="1675"/>
        <v>#REF!</v>
      </c>
      <c r="Z1398" s="471"/>
      <c r="AA1398" s="471"/>
      <c r="AB1398" s="435"/>
    </row>
    <row r="1399" spans="1:40" s="599" customFormat="1" ht="15.75" customHeight="1" x14ac:dyDescent="0.15">
      <c r="B1399" s="670"/>
      <c r="C1399" s="140"/>
      <c r="D1399" s="670"/>
      <c r="E1399" s="643"/>
      <c r="F1399" s="207"/>
      <c r="G1399" s="556"/>
      <c r="H1399" s="463" t="str">
        <f t="shared" si="1672"/>
        <v/>
      </c>
      <c r="I1399" s="671"/>
      <c r="J1399" s="506"/>
      <c r="K1399" s="507"/>
      <c r="L1399" s="506"/>
      <c r="M1399" s="507"/>
      <c r="N1399" s="507"/>
      <c r="O1399" s="507"/>
      <c r="P1399" s="508"/>
      <c r="Q1399" s="512"/>
      <c r="R1399" s="534"/>
      <c r="S1399" s="131"/>
      <c r="T1399" s="599" t="str">
        <f t="shared" si="1673"/>
        <v/>
      </c>
      <c r="V1399" s="549"/>
      <c r="W1399" s="471">
        <f t="shared" ref="W1399:X1399" si="1700">W1398</f>
        <v>54</v>
      </c>
      <c r="X1399" s="471" t="e">
        <f t="shared" si="1700"/>
        <v>#REF!</v>
      </c>
      <c r="Y1399" s="471" t="e">
        <f t="shared" si="1675"/>
        <v>#REF!</v>
      </c>
      <c r="Z1399" s="471"/>
      <c r="AA1399" s="471"/>
      <c r="AB1399" s="435"/>
    </row>
    <row r="1400" spans="1:40" s="599" customFormat="1" ht="15.75" customHeight="1" x14ac:dyDescent="0.15">
      <c r="B1400" s="670"/>
      <c r="C1400" s="140"/>
      <c r="D1400" s="670"/>
      <c r="E1400" s="643"/>
      <c r="F1400" s="207"/>
      <c r="G1400" s="556"/>
      <c r="H1400" s="463" t="str">
        <f t="shared" si="1672"/>
        <v/>
      </c>
      <c r="I1400" s="671"/>
      <c r="J1400" s="506"/>
      <c r="K1400" s="507"/>
      <c r="L1400" s="506"/>
      <c r="M1400" s="507"/>
      <c r="N1400" s="507"/>
      <c r="O1400" s="507"/>
      <c r="P1400" s="508"/>
      <c r="Q1400" s="512"/>
      <c r="R1400" s="534"/>
      <c r="S1400" s="131"/>
      <c r="T1400" s="599" t="str">
        <f t="shared" si="1673"/>
        <v/>
      </c>
      <c r="V1400" s="549"/>
      <c r="W1400" s="471">
        <f t="shared" ref="W1400:X1400" si="1701">W1399</f>
        <v>54</v>
      </c>
      <c r="X1400" s="471" t="e">
        <f t="shared" si="1701"/>
        <v>#REF!</v>
      </c>
      <c r="Y1400" s="471" t="e">
        <f t="shared" si="1675"/>
        <v>#REF!</v>
      </c>
      <c r="Z1400" s="471"/>
      <c r="AA1400" s="471"/>
      <c r="AB1400" s="435"/>
    </row>
    <row r="1401" spans="1:40" s="599" customFormat="1" ht="15.75" customHeight="1" x14ac:dyDescent="0.15">
      <c r="B1401" s="670"/>
      <c r="C1401" s="140"/>
      <c r="D1401" s="670"/>
      <c r="E1401" s="643"/>
      <c r="F1401" s="207"/>
      <c r="G1401" s="556"/>
      <c r="H1401" s="463" t="str">
        <f t="shared" si="1672"/>
        <v/>
      </c>
      <c r="I1401" s="671"/>
      <c r="J1401" s="506"/>
      <c r="K1401" s="507"/>
      <c r="L1401" s="506"/>
      <c r="M1401" s="507"/>
      <c r="N1401" s="507"/>
      <c r="O1401" s="507"/>
      <c r="P1401" s="508"/>
      <c r="Q1401" s="512"/>
      <c r="R1401" s="513"/>
      <c r="S1401" s="131"/>
      <c r="T1401" s="599" t="str">
        <f t="shared" si="1673"/>
        <v/>
      </c>
      <c r="V1401" s="549"/>
      <c r="W1401" s="471">
        <f t="shared" ref="W1401:X1401" si="1702">W1400</f>
        <v>54</v>
      </c>
      <c r="X1401" s="471" t="e">
        <f t="shared" si="1702"/>
        <v>#REF!</v>
      </c>
      <c r="Y1401" s="471" t="e">
        <f t="shared" si="1675"/>
        <v>#REF!</v>
      </c>
      <c r="Z1401" s="471"/>
      <c r="AA1401" s="471"/>
      <c r="AB1401" s="435"/>
    </row>
    <row r="1402" spans="1:40" s="599" customFormat="1" ht="15.75" customHeight="1" x14ac:dyDescent="0.15">
      <c r="B1402" s="514" t="s">
        <v>801</v>
      </c>
      <c r="C1402" s="515"/>
      <c r="D1402" s="516"/>
      <c r="E1402" s="517"/>
      <c r="F1402" s="518"/>
      <c r="G1402" s="557"/>
      <c r="H1402" s="463" t="str">
        <f t="shared" si="1672"/>
        <v/>
      </c>
      <c r="I1402" s="520">
        <f>목록!$B$60</f>
        <v>54</v>
      </c>
      <c r="J1402" s="521"/>
      <c r="K1402" s="522">
        <f>SUM(K1388:K1401)</f>
        <v>900000</v>
      </c>
      <c r="L1402" s="521"/>
      <c r="M1402" s="522">
        <f>SUM(M1388:M1401)</f>
        <v>110489</v>
      </c>
      <c r="N1402" s="521"/>
      <c r="O1402" s="522">
        <f>SUM(O1388:O1401)</f>
        <v>0</v>
      </c>
      <c r="P1402" s="523"/>
      <c r="Q1402" s="512"/>
      <c r="R1402" s="513"/>
      <c r="S1402" s="524"/>
      <c r="T1402" s="599" t="str">
        <f t="shared" si="1673"/>
        <v/>
      </c>
      <c r="V1402" s="549"/>
      <c r="W1402" s="471">
        <f t="shared" ref="W1402:X1402" si="1703">W1401</f>
        <v>54</v>
      </c>
      <c r="X1402" s="471" t="e">
        <f t="shared" si="1703"/>
        <v>#REF!</v>
      </c>
      <c r="Y1402" s="471" t="e">
        <f t="shared" si="1675"/>
        <v>#REF!</v>
      </c>
      <c r="Z1402" s="471"/>
      <c r="AA1402" s="471"/>
      <c r="AB1402" s="435"/>
    </row>
    <row r="1403" spans="1:40" s="599" customFormat="1" ht="15.75" customHeight="1" x14ac:dyDescent="0.15">
      <c r="B1403" s="453"/>
      <c r="C1403" s="630"/>
      <c r="D1403" s="670"/>
      <c r="E1403" s="643"/>
      <c r="F1403" s="207"/>
      <c r="G1403" s="556"/>
      <c r="H1403" s="463" t="str">
        <f t="shared" si="1672"/>
        <v/>
      </c>
      <c r="I1403" s="671"/>
      <c r="J1403" s="506"/>
      <c r="K1403" s="507"/>
      <c r="L1403" s="506"/>
      <c r="M1403" s="507"/>
      <c r="N1403" s="507"/>
      <c r="O1403" s="507"/>
      <c r="P1403" s="508"/>
      <c r="Q1403" s="512"/>
      <c r="R1403" s="513"/>
      <c r="S1403" s="131"/>
      <c r="T1403" s="599" t="str">
        <f t="shared" si="1673"/>
        <v/>
      </c>
      <c r="V1403" s="549"/>
      <c r="W1403" s="615">
        <f t="shared" ref="W1403:X1403" si="1704">W1402</f>
        <v>54</v>
      </c>
      <c r="X1403" s="471" t="e">
        <f t="shared" si="1704"/>
        <v>#REF!</v>
      </c>
      <c r="Y1403" s="471" t="e">
        <f t="shared" si="1675"/>
        <v>#REF!</v>
      </c>
      <c r="Z1403" s="471"/>
      <c r="AA1403" s="471"/>
      <c r="AB1403" s="435"/>
    </row>
    <row r="1404" spans="1:40" s="599" customFormat="1" ht="15.75" customHeight="1" x14ac:dyDescent="0.15">
      <c r="A1404" s="473"/>
      <c r="B1404" s="453"/>
      <c r="C1404" s="540" t="s">
        <v>1534</v>
      </c>
      <c r="D1404" s="670"/>
      <c r="E1404" s="643"/>
      <c r="F1404" s="207"/>
      <c r="G1404" s="556"/>
      <c r="H1404" s="463" t="str">
        <f t="shared" si="1672"/>
        <v>※ 정보통신표준품셈 7-11-1 방송국 설비 (Multi Remote Controller(A/V통합제어) 접점 Module)</v>
      </c>
      <c r="I1404" s="671"/>
      <c r="J1404" s="506"/>
      <c r="K1404" s="507"/>
      <c r="L1404" s="506"/>
      <c r="M1404" s="507"/>
      <c r="N1404" s="507"/>
      <c r="O1404" s="507"/>
      <c r="P1404" s="508"/>
      <c r="Q1404" s="512"/>
      <c r="R1404" s="513"/>
      <c r="S1404" s="131"/>
      <c r="T1404" s="599" t="str">
        <f t="shared" si="1673"/>
        <v/>
      </c>
      <c r="V1404" s="631"/>
      <c r="W1404" s="471">
        <f t="shared" ref="W1404:X1404" si="1705">W1403</f>
        <v>54</v>
      </c>
      <c r="X1404" s="471" t="e">
        <f t="shared" si="1705"/>
        <v>#REF!</v>
      </c>
      <c r="Y1404" s="471" t="e">
        <f t="shared" si="1675"/>
        <v>#REF!</v>
      </c>
      <c r="Z1404" s="471"/>
      <c r="AA1404" s="471"/>
      <c r="AB1404" s="435"/>
    </row>
    <row r="1405" spans="1:40" s="599" customFormat="1" ht="15.75" customHeight="1" x14ac:dyDescent="0.15">
      <c r="B1405" s="514"/>
      <c r="C1405" s="630"/>
      <c r="D1405" s="516"/>
      <c r="E1405" s="517"/>
      <c r="F1405" s="518"/>
      <c r="G1405" s="557"/>
      <c r="H1405" s="463" t="str">
        <f t="shared" si="1672"/>
        <v/>
      </c>
      <c r="I1405" s="520"/>
      <c r="J1405" s="521"/>
      <c r="K1405" s="522"/>
      <c r="L1405" s="521"/>
      <c r="M1405" s="522"/>
      <c r="N1405" s="521"/>
      <c r="O1405" s="522"/>
      <c r="P1405" s="523"/>
      <c r="Q1405" s="512"/>
      <c r="R1405" s="513"/>
      <c r="S1405" s="524"/>
      <c r="T1405" s="599" t="str">
        <f t="shared" si="1673"/>
        <v/>
      </c>
      <c r="U1405" s="473"/>
      <c r="W1405" s="471">
        <f t="shared" ref="W1405:X1405" si="1706">W1404</f>
        <v>54</v>
      </c>
      <c r="X1405" s="471" t="e">
        <f t="shared" si="1706"/>
        <v>#REF!</v>
      </c>
      <c r="Y1405" s="471" t="e">
        <f t="shared" si="1675"/>
        <v>#REF!</v>
      </c>
      <c r="Z1405" s="471"/>
      <c r="AA1405" s="471"/>
      <c r="AB1405" s="435"/>
      <c r="AC1405" s="473"/>
      <c r="AD1405" s="473"/>
      <c r="AE1405" s="473"/>
      <c r="AF1405" s="473"/>
      <c r="AG1405" s="473"/>
      <c r="AH1405" s="473"/>
      <c r="AI1405" s="473"/>
      <c r="AJ1405" s="473"/>
      <c r="AK1405" s="473"/>
      <c r="AL1405" s="473"/>
      <c r="AM1405" s="473"/>
      <c r="AN1405" s="473"/>
    </row>
    <row r="1406" spans="1:40" s="473" customFormat="1" ht="15.75" customHeight="1" x14ac:dyDescent="0.15">
      <c r="A1406" s="599"/>
      <c r="C1406" s="458"/>
      <c r="D1406" s="459"/>
      <c r="E1406" s="460"/>
      <c r="F1406" s="461"/>
      <c r="G1406" s="553"/>
      <c r="H1406" s="463" t="str">
        <f t="shared" ref="H1406:H1416" si="1707">CONCATENATE(C1406,E1406,F1406)</f>
        <v/>
      </c>
      <c r="I1406" s="464"/>
      <c r="J1406" s="465"/>
      <c r="K1406" s="465"/>
      <c r="L1406" s="465"/>
      <c r="M1406" s="465"/>
      <c r="N1406" s="465"/>
      <c r="O1406" s="466"/>
      <c r="P1406" s="467"/>
      <c r="Q1406" s="468"/>
      <c r="R1406" s="526"/>
      <c r="S1406" s="467"/>
      <c r="T1406" s="599" t="str">
        <f t="shared" ref="T1406:T1416" si="1708">CONCATENATE(Q1406,R1406)</f>
        <v/>
      </c>
      <c r="U1406" s="599"/>
      <c r="V1406" s="599"/>
      <c r="W1406" s="533">
        <f t="shared" ref="W1406" si="1709">I1428</f>
        <v>55</v>
      </c>
      <c r="X1406" s="533" t="e">
        <f>#REF!+1</f>
        <v>#REF!</v>
      </c>
      <c r="Y1406" s="533" t="e">
        <f t="shared" ref="Y1406:Y1416" si="1710">X1406-W1406</f>
        <v>#REF!</v>
      </c>
      <c r="Z1406" s="533"/>
      <c r="AA1406" s="533"/>
      <c r="AB1406" s="435"/>
      <c r="AC1406" s="599"/>
      <c r="AD1406" s="599"/>
      <c r="AE1406" s="599"/>
      <c r="AF1406" s="599"/>
      <c r="AG1406" s="599"/>
      <c r="AH1406" s="599"/>
      <c r="AI1406" s="599"/>
      <c r="AJ1406" s="599"/>
      <c r="AK1406" s="599"/>
      <c r="AL1406" s="599"/>
      <c r="AM1406" s="599"/>
      <c r="AN1406" s="599"/>
    </row>
    <row r="1407" spans="1:40" s="599" customFormat="1" ht="15.75" customHeight="1" x14ac:dyDescent="0.15">
      <c r="A1407" s="473"/>
      <c r="B1407" s="473"/>
      <c r="C1407" s="746" t="str">
        <f>"   항목번호 : "&amp;목록!L$61</f>
        <v xml:space="preserve">   항목번호 : 제55호표</v>
      </c>
      <c r="D1407" s="475">
        <f>목록!B$54</f>
        <v>48</v>
      </c>
      <c r="E1407" s="476"/>
      <c r="F1407" s="477"/>
      <c r="G1407" s="554"/>
      <c r="H1407" s="463" t="str">
        <f t="shared" si="1707"/>
        <v xml:space="preserve">   항목번호 : 제55호표</v>
      </c>
      <c r="I1407" s="479"/>
      <c r="J1407" s="488"/>
      <c r="K1407" s="481"/>
      <c r="L1407" s="482"/>
      <c r="M1407" s="482"/>
      <c r="N1407" s="482"/>
      <c r="O1407" s="466"/>
      <c r="P1407" s="483"/>
      <c r="Q1407" s="654"/>
      <c r="R1407" s="485"/>
      <c r="S1407" s="483"/>
      <c r="T1407" s="599" t="str">
        <f t="shared" si="1708"/>
        <v/>
      </c>
      <c r="V1407" s="631"/>
      <c r="W1407" s="471">
        <f t="shared" ref="W1407:X1407" si="1711">W1406</f>
        <v>55</v>
      </c>
      <c r="X1407" s="471" t="e">
        <f t="shared" si="1711"/>
        <v>#REF!</v>
      </c>
      <c r="Y1407" s="471" t="e">
        <f t="shared" si="1710"/>
        <v>#REF!</v>
      </c>
      <c r="Z1407" s="471"/>
      <c r="AA1407" s="471"/>
      <c r="AB1407" s="435"/>
    </row>
    <row r="1408" spans="1:40" s="599" customFormat="1" ht="15.75" customHeight="1" x14ac:dyDescent="0.15">
      <c r="A1408" s="473"/>
      <c r="B1408" s="473"/>
      <c r="C1408" s="746" t="str">
        <f>"   공      종 : "&amp;목록!D$61</f>
        <v xml:space="preserve">   공      종 : POWER AMP</v>
      </c>
      <c r="D1408" s="654"/>
      <c r="E1408" s="476"/>
      <c r="F1408" s="473"/>
      <c r="G1408" s="554"/>
      <c r="H1408" s="463" t="str">
        <f t="shared" si="1707"/>
        <v xml:space="preserve">   공      종 : POWER AMP</v>
      </c>
      <c r="I1408" s="479"/>
      <c r="J1408" s="488"/>
      <c r="K1408" s="481"/>
      <c r="L1408" s="482"/>
      <c r="M1408" s="482"/>
      <c r="N1408" s="482"/>
      <c r="O1408" s="466"/>
      <c r="P1408" s="483"/>
      <c r="Q1408" s="654"/>
      <c r="R1408" s="485"/>
      <c r="S1408" s="483"/>
      <c r="T1408" s="599" t="str">
        <f t="shared" si="1708"/>
        <v/>
      </c>
      <c r="U1408" s="473"/>
      <c r="W1408" s="471">
        <f t="shared" ref="W1408:X1408" si="1712">W1407</f>
        <v>55</v>
      </c>
      <c r="X1408" s="471" t="e">
        <f t="shared" si="1712"/>
        <v>#REF!</v>
      </c>
      <c r="Y1408" s="471" t="e">
        <f t="shared" si="1710"/>
        <v>#REF!</v>
      </c>
      <c r="Z1408" s="471"/>
      <c r="AA1408" s="471"/>
      <c r="AB1408" s="435"/>
      <c r="AC1408" s="473"/>
      <c r="AD1408" s="473"/>
      <c r="AE1408" s="473"/>
      <c r="AF1408" s="473"/>
      <c r="AG1408" s="473"/>
      <c r="AH1408" s="473"/>
      <c r="AI1408" s="473"/>
      <c r="AJ1408" s="473"/>
      <c r="AK1408" s="473"/>
      <c r="AL1408" s="473"/>
      <c r="AM1408" s="473"/>
      <c r="AN1408" s="473"/>
    </row>
    <row r="1409" spans="1:28" s="473" customFormat="1" ht="15.75" customHeight="1" x14ac:dyDescent="0.15">
      <c r="C1409" s="746" t="str">
        <f xml:space="preserve"> "   규      격 : "&amp;목록!F$61</f>
        <v xml:space="preserve">   규      격 : 70W+70W</v>
      </c>
      <c r="D1409" s="654"/>
      <c r="E1409" s="476"/>
      <c r="G1409" s="554"/>
      <c r="H1409" s="463" t="str">
        <f t="shared" si="1707"/>
        <v xml:space="preserve">   규      격 : 70W+70W</v>
      </c>
      <c r="I1409" s="479"/>
      <c r="J1409" s="488" t="s">
        <v>348</v>
      </c>
      <c r="K1409" s="481"/>
      <c r="L1409" s="482" t="s">
        <v>349</v>
      </c>
      <c r="M1409" s="482"/>
      <c r="N1409" s="482" t="s">
        <v>240</v>
      </c>
      <c r="O1409" s="466"/>
      <c r="P1409" s="483"/>
      <c r="Q1409" s="654" t="s">
        <v>764</v>
      </c>
      <c r="R1409" s="654"/>
      <c r="S1409" s="483"/>
      <c r="T1409" s="599" t="str">
        <f t="shared" si="1708"/>
        <v>합계</v>
      </c>
      <c r="V1409" s="599"/>
      <c r="W1409" s="471">
        <f t="shared" ref="W1409:X1409" si="1713">W1408</f>
        <v>55</v>
      </c>
      <c r="X1409" s="471" t="e">
        <f t="shared" si="1713"/>
        <v>#REF!</v>
      </c>
      <c r="Y1409" s="471" t="e">
        <f t="shared" si="1710"/>
        <v>#REF!</v>
      </c>
      <c r="Z1409" s="471"/>
      <c r="AA1409" s="471"/>
      <c r="AB1409" s="435"/>
    </row>
    <row r="1410" spans="1:28" s="473" customFormat="1" ht="15.75" customHeight="1" x14ac:dyDescent="0.15">
      <c r="C1410" s="746" t="str">
        <f>"   단      위 : "&amp;목록!G$61</f>
        <v xml:space="preserve">   단      위 : EA</v>
      </c>
      <c r="D1410" s="654"/>
      <c r="E1410" s="476"/>
      <c r="G1410" s="554"/>
      <c r="H1410" s="463" t="str">
        <f t="shared" si="1707"/>
        <v xml:space="preserve">   단      위 : EA</v>
      </c>
      <c r="I1410" s="479"/>
      <c r="J1410" s="489">
        <f>K1428</f>
        <v>400000</v>
      </c>
      <c r="K1410" s="481"/>
      <c r="L1410" s="487">
        <f>M1428</f>
        <v>415624</v>
      </c>
      <c r="M1410" s="482"/>
      <c r="N1410" s="482">
        <f>O1428</f>
        <v>0</v>
      </c>
      <c r="O1410" s="466"/>
      <c r="P1410" s="483"/>
      <c r="Q1410" s="488">
        <f>J1410+L1410+N1410</f>
        <v>815624</v>
      </c>
      <c r="R1410" s="489"/>
      <c r="S1410" s="483"/>
      <c r="T1410" s="599" t="str">
        <f t="shared" si="1708"/>
        <v>815624</v>
      </c>
      <c r="V1410" s="599"/>
      <c r="W1410" s="471">
        <f t="shared" ref="W1410:X1410" si="1714">W1409</f>
        <v>55</v>
      </c>
      <c r="X1410" s="471" t="e">
        <f t="shared" si="1714"/>
        <v>#REF!</v>
      </c>
      <c r="Y1410" s="471" t="e">
        <f t="shared" si="1710"/>
        <v>#REF!</v>
      </c>
      <c r="Z1410" s="471"/>
      <c r="AA1410" s="471"/>
      <c r="AB1410" s="435"/>
    </row>
    <row r="1411" spans="1:28" s="473" customFormat="1" ht="15.75" customHeight="1" x14ac:dyDescent="0.15">
      <c r="C1411" s="746"/>
      <c r="D1411" s="654"/>
      <c r="E1411" s="476"/>
      <c r="G1411" s="555"/>
      <c r="H1411" s="463" t="str">
        <f t="shared" si="1707"/>
        <v/>
      </c>
      <c r="I1411" s="491"/>
      <c r="J1411" s="482"/>
      <c r="K1411" s="465"/>
      <c r="L1411" s="482"/>
      <c r="M1411" s="482"/>
      <c r="N1411" s="482"/>
      <c r="O1411" s="466"/>
      <c r="P1411" s="492"/>
      <c r="Q1411" s="493"/>
      <c r="R1411" s="485"/>
      <c r="S1411" s="492"/>
      <c r="T1411" s="599" t="str">
        <f t="shared" si="1708"/>
        <v/>
      </c>
      <c r="V1411" s="599"/>
      <c r="W1411" s="471">
        <f t="shared" ref="W1411:X1411" si="1715">W1410</f>
        <v>55</v>
      </c>
      <c r="X1411" s="471" t="e">
        <f t="shared" si="1715"/>
        <v>#REF!</v>
      </c>
      <c r="Y1411" s="471" t="e">
        <f t="shared" si="1710"/>
        <v>#REF!</v>
      </c>
      <c r="Z1411" s="471"/>
      <c r="AA1411" s="471"/>
      <c r="AB1411" s="435"/>
    </row>
    <row r="1412" spans="1:28" s="473" customFormat="1" ht="15.75" customHeight="1" x14ac:dyDescent="0.15">
      <c r="B1412" s="899" t="s">
        <v>375</v>
      </c>
      <c r="C1412" s="900"/>
      <c r="D1412" s="907" t="s">
        <v>356</v>
      </c>
      <c r="E1412" s="908"/>
      <c r="F1412" s="903" t="s">
        <v>788</v>
      </c>
      <c r="G1412" s="911" t="s">
        <v>789</v>
      </c>
      <c r="H1412" s="463" t="str">
        <f t="shared" si="1707"/>
        <v>단위</v>
      </c>
      <c r="I1412" s="623"/>
      <c r="J1412" s="495" t="s">
        <v>348</v>
      </c>
      <c r="K1412" s="496"/>
      <c r="L1412" s="495" t="s">
        <v>349</v>
      </c>
      <c r="M1412" s="496"/>
      <c r="N1412" s="497" t="s">
        <v>240</v>
      </c>
      <c r="O1412" s="497"/>
      <c r="P1412" s="498"/>
      <c r="Q1412" s="862" t="s">
        <v>355</v>
      </c>
      <c r="R1412" s="862"/>
      <c r="S1412" s="499"/>
      <c r="T1412" s="599" t="str">
        <f t="shared" si="1708"/>
        <v>비  고</v>
      </c>
      <c r="V1412" s="599"/>
      <c r="W1412" s="471">
        <f t="shared" ref="W1412:X1412" si="1716">W1411</f>
        <v>55</v>
      </c>
      <c r="X1412" s="471" t="e">
        <f t="shared" si="1716"/>
        <v>#REF!</v>
      </c>
      <c r="Y1412" s="471" t="e">
        <f t="shared" si="1710"/>
        <v>#REF!</v>
      </c>
      <c r="Z1412" s="471"/>
      <c r="AA1412" s="471"/>
      <c r="AB1412" s="435"/>
    </row>
    <row r="1413" spans="1:28" s="473" customFormat="1" ht="15.75" customHeight="1" x14ac:dyDescent="0.15">
      <c r="B1413" s="901"/>
      <c r="C1413" s="902"/>
      <c r="D1413" s="909"/>
      <c r="E1413" s="910"/>
      <c r="F1413" s="904"/>
      <c r="G1413" s="912"/>
      <c r="H1413" s="463" t="str">
        <f t="shared" si="1707"/>
        <v/>
      </c>
      <c r="I1413" s="624"/>
      <c r="J1413" s="501" t="s">
        <v>353</v>
      </c>
      <c r="K1413" s="501" t="s">
        <v>354</v>
      </c>
      <c r="L1413" s="501" t="s">
        <v>353</v>
      </c>
      <c r="M1413" s="749" t="s">
        <v>354</v>
      </c>
      <c r="N1413" s="501" t="s">
        <v>353</v>
      </c>
      <c r="O1413" s="501" t="s">
        <v>354</v>
      </c>
      <c r="P1413" s="861"/>
      <c r="Q1413" s="863"/>
      <c r="R1413" s="863"/>
      <c r="S1413" s="504"/>
      <c r="T1413" s="599" t="str">
        <f t="shared" si="1708"/>
        <v/>
      </c>
      <c r="V1413" s="599"/>
      <c r="W1413" s="471">
        <f t="shared" ref="W1413:X1413" si="1717">W1412</f>
        <v>55</v>
      </c>
      <c r="X1413" s="471" t="e">
        <f t="shared" si="1717"/>
        <v>#REF!</v>
      </c>
      <c r="Y1413" s="471" t="e">
        <f t="shared" si="1710"/>
        <v>#REF!</v>
      </c>
      <c r="Z1413" s="471"/>
      <c r="AA1413" s="471"/>
      <c r="AB1413" s="435"/>
    </row>
    <row r="1414" spans="1:28" s="473" customFormat="1" ht="15.75" customHeight="1" x14ac:dyDescent="0.15">
      <c r="A1414" s="599"/>
      <c r="B1414" s="670"/>
      <c r="C1414" s="629" t="s">
        <v>1499</v>
      </c>
      <c r="D1414" s="670"/>
      <c r="E1414" s="629" t="s">
        <v>1500</v>
      </c>
      <c r="F1414" s="207" t="s">
        <v>352</v>
      </c>
      <c r="G1414" s="556">
        <v>1</v>
      </c>
      <c r="H1414" s="463" t="str">
        <f t="shared" si="1707"/>
        <v>POWER AMP70W+70WEA</v>
      </c>
      <c r="I1414" s="671" t="str">
        <f t="shared" ref="I1414:I1421" si="1718">CONCATENATE(C1414,E1414,F1414)</f>
        <v>POWER AMP70W+70WEA</v>
      </c>
      <c r="J1414" s="506">
        <f>IF(OR($F1414="인",$F1414=""),"",VLOOKUP($H1414,단가!$A:$S,19,FALSE))</f>
        <v>400000</v>
      </c>
      <c r="K1414" s="507">
        <f t="shared" ref="K1414:K1421" si="1719">IF(J1414="","",TRUNC($G1414*J1414,0))</f>
        <v>400000</v>
      </c>
      <c r="L1414" s="506" t="str">
        <f>IF($F1414="인",VLOOKUP($C:$C,노임!$C:$G,4,FALSE),"")</f>
        <v/>
      </c>
      <c r="M1414" s="507" t="str">
        <f t="shared" ref="M1414:M1421" si="1720">IF(L1414="","",TRUNC($G1414*L1414,0))</f>
        <v/>
      </c>
      <c r="N1414" s="507"/>
      <c r="O1414" s="507" t="str">
        <f t="shared" ref="O1414:O1421" si="1721">IF(N1414="","",TRUNC($G1414*N1414,0))</f>
        <v/>
      </c>
      <c r="P1414" s="508"/>
      <c r="Q1414" s="509" t="str">
        <f>IF(F1414="인","노임"&amp;VLOOKUP($C:$C,노임!C:G,5,FALSE)&amp;"번","단가"&amp;VLOOKUP($H:$H,단가!$A:$B,2,FALSE)&amp;"번")</f>
        <v>단가123번</v>
      </c>
      <c r="R1414" s="510"/>
      <c r="S1414" s="131"/>
      <c r="T1414" s="599" t="str">
        <f t="shared" si="1708"/>
        <v>단가123번</v>
      </c>
      <c r="V1414" s="631"/>
      <c r="W1414" s="471">
        <f t="shared" ref="W1414:X1414" si="1722">W1413</f>
        <v>55</v>
      </c>
      <c r="X1414" s="471" t="e">
        <f t="shared" si="1722"/>
        <v>#REF!</v>
      </c>
      <c r="Y1414" s="471" t="e">
        <f t="shared" si="1710"/>
        <v>#REF!</v>
      </c>
      <c r="Z1414" s="471"/>
      <c r="AA1414" s="471"/>
      <c r="AB1414" s="435"/>
    </row>
    <row r="1415" spans="1:28" s="473" customFormat="1" ht="15.75" customHeight="1" x14ac:dyDescent="0.15">
      <c r="A1415" s="599"/>
      <c r="B1415" s="670"/>
      <c r="C1415" s="164" t="s">
        <v>1505</v>
      </c>
      <c r="D1415" s="165"/>
      <c r="E1415" s="164" t="s">
        <v>1507</v>
      </c>
      <c r="F1415" s="455" t="s">
        <v>1506</v>
      </c>
      <c r="G1415" s="556">
        <v>0.24</v>
      </c>
      <c r="H1415" s="463" t="str">
        <f t="shared" si="1707"/>
        <v>통신관련산업기사설치인</v>
      </c>
      <c r="I1415" s="671" t="str">
        <f t="shared" si="1718"/>
        <v>통신관련산업기사설치인</v>
      </c>
      <c r="J1415" s="506" t="str">
        <f>IF(OR($F1415="인",$F1415=""),"",VLOOKUP($H1415,단가!$A:$S,19,FALSE))</f>
        <v/>
      </c>
      <c r="K1415" s="507" t="str">
        <f t="shared" si="1719"/>
        <v/>
      </c>
      <c r="L1415" s="506">
        <f>IF($F1415="인",VLOOKUP($C:$C,노임!$C:$G,4,FALSE),"")</f>
        <v>203601</v>
      </c>
      <c r="M1415" s="507">
        <f t="shared" si="1720"/>
        <v>48864</v>
      </c>
      <c r="N1415" s="507"/>
      <c r="O1415" s="507" t="str">
        <f t="shared" si="1721"/>
        <v/>
      </c>
      <c r="P1415" s="508"/>
      <c r="Q1415" s="509" t="str">
        <f>IF(F1415="인","노임"&amp;VLOOKUP($C:$C,노임!C:G,5,FALSE)&amp;"번","단가"&amp;VLOOKUP($H:$H,단가!$A:$B,2,FALSE)&amp;"번")</f>
        <v>노임5002번</v>
      </c>
      <c r="R1415" s="510"/>
      <c r="S1415" s="131"/>
      <c r="T1415" s="599" t="str">
        <f t="shared" si="1708"/>
        <v>노임5002번</v>
      </c>
      <c r="V1415" s="631"/>
      <c r="W1415" s="471">
        <f t="shared" ref="W1415:X1415" si="1723">W1414</f>
        <v>55</v>
      </c>
      <c r="X1415" s="471" t="e">
        <f t="shared" si="1723"/>
        <v>#REF!</v>
      </c>
      <c r="Y1415" s="471" t="e">
        <f t="shared" si="1710"/>
        <v>#REF!</v>
      </c>
      <c r="Z1415" s="471"/>
      <c r="AA1415" s="471"/>
      <c r="AB1415" s="435"/>
    </row>
    <row r="1416" spans="1:28" s="473" customFormat="1" ht="15.75" customHeight="1" x14ac:dyDescent="0.15">
      <c r="A1416" s="599"/>
      <c r="B1416" s="670"/>
      <c r="C1416" s="164" t="s">
        <v>1508</v>
      </c>
      <c r="D1416" s="165"/>
      <c r="E1416" s="164" t="s">
        <v>1507</v>
      </c>
      <c r="F1416" s="455" t="s">
        <v>1506</v>
      </c>
      <c r="G1416" s="556">
        <v>0.11</v>
      </c>
      <c r="H1416" s="463" t="str">
        <f t="shared" si="1707"/>
        <v>통신설비공설치인</v>
      </c>
      <c r="I1416" s="671" t="str">
        <f t="shared" si="1718"/>
        <v>통신설비공설치인</v>
      </c>
      <c r="J1416" s="506" t="str">
        <f>IF(OR($F1416="인",$F1416=""),"",VLOOKUP($H1416,단가!$A:$S,19,FALSE))</f>
        <v/>
      </c>
      <c r="K1416" s="507" t="str">
        <f t="shared" si="1719"/>
        <v/>
      </c>
      <c r="L1416" s="506">
        <f>IF($F1416="인",VLOOKUP($C:$C,노임!$C:$G,4,FALSE),"")</f>
        <v>193302</v>
      </c>
      <c r="M1416" s="507">
        <f t="shared" si="1720"/>
        <v>21263</v>
      </c>
      <c r="N1416" s="507"/>
      <c r="O1416" s="507" t="str">
        <f t="shared" si="1721"/>
        <v/>
      </c>
      <c r="P1416" s="508"/>
      <c r="Q1416" s="509" t="str">
        <f>IF(F1416="인","노임"&amp;VLOOKUP($C:$C,노임!C:G,5,FALSE)&amp;"번","단가"&amp;VLOOKUP($H:$H,단가!$A:$B,2,FALSE)&amp;"번")</f>
        <v>노임1087번</v>
      </c>
      <c r="R1416" s="510"/>
      <c r="S1416" s="131"/>
      <c r="T1416" s="599" t="str">
        <f t="shared" si="1708"/>
        <v>노임1087번</v>
      </c>
      <c r="V1416" s="631"/>
      <c r="W1416" s="471">
        <f t="shared" ref="W1416:X1418" si="1724">W1415</f>
        <v>55</v>
      </c>
      <c r="X1416" s="471" t="e">
        <f t="shared" si="1724"/>
        <v>#REF!</v>
      </c>
      <c r="Y1416" s="471" t="e">
        <f t="shared" si="1710"/>
        <v>#REF!</v>
      </c>
      <c r="Z1416" s="471"/>
      <c r="AA1416" s="471"/>
      <c r="AB1416" s="435"/>
    </row>
    <row r="1417" spans="1:28" s="473" customFormat="1" ht="15.75" customHeight="1" x14ac:dyDescent="0.15">
      <c r="A1417" s="599"/>
      <c r="B1417" s="670"/>
      <c r="C1417" s="164" t="s">
        <v>1511</v>
      </c>
      <c r="D1417" s="165"/>
      <c r="E1417" s="164" t="s">
        <v>1507</v>
      </c>
      <c r="F1417" s="455" t="s">
        <v>1506</v>
      </c>
      <c r="G1417" s="556">
        <v>0.48</v>
      </c>
      <c r="H1417" s="463" t="str">
        <f t="shared" ref="H1417:H1418" si="1725">CONCATENATE(C1417,E1417,F1417)</f>
        <v>보통인부설치인</v>
      </c>
      <c r="I1417" s="671" t="str">
        <f t="shared" si="1718"/>
        <v>보통인부설치인</v>
      </c>
      <c r="J1417" s="506" t="str">
        <f>IF(OR($F1417="인",$F1417=""),"",VLOOKUP($H1417,단가!$A:$S,19,FALSE))</f>
        <v/>
      </c>
      <c r="K1417" s="507" t="str">
        <f t="shared" si="1719"/>
        <v/>
      </c>
      <c r="L1417" s="506">
        <f>IF($F1417="인",VLOOKUP($C:$C,노임!$C:$G,4,FALSE),"")</f>
        <v>106846</v>
      </c>
      <c r="M1417" s="507">
        <f t="shared" si="1720"/>
        <v>51286</v>
      </c>
      <c r="N1417" s="507"/>
      <c r="O1417" s="507" t="str">
        <f t="shared" si="1721"/>
        <v/>
      </c>
      <c r="P1417" s="508"/>
      <c r="Q1417" s="509" t="str">
        <f>IF(F1417="인","노임"&amp;VLOOKUP($C:$C,노임!C:G,5,FALSE)&amp;"번","단가"&amp;VLOOKUP($H:$H,단가!$A:$B,2,FALSE)&amp;"번")</f>
        <v>노임1002번</v>
      </c>
      <c r="R1417" s="510"/>
      <c r="S1417" s="131"/>
      <c r="T1417" s="599" t="str">
        <f t="shared" ref="T1417:T1418" si="1726">CONCATENATE(Q1417,R1417)</f>
        <v>노임1002번</v>
      </c>
      <c r="V1417" s="631"/>
      <c r="W1417" s="471">
        <f t="shared" si="1724"/>
        <v>55</v>
      </c>
      <c r="X1417" s="471" t="e">
        <f t="shared" si="1724"/>
        <v>#REF!</v>
      </c>
      <c r="Y1417" s="471" t="e">
        <f t="shared" ref="Y1417:Y1418" si="1727">X1417-W1417</f>
        <v>#REF!</v>
      </c>
      <c r="Z1417" s="471"/>
      <c r="AA1417" s="471"/>
      <c r="AB1417" s="435"/>
    </row>
    <row r="1418" spans="1:28" s="473" customFormat="1" ht="15.75" customHeight="1" x14ac:dyDescent="0.15">
      <c r="A1418" s="599"/>
      <c r="B1418" s="670"/>
      <c r="C1418" s="164" t="s">
        <v>1513</v>
      </c>
      <c r="D1418" s="165"/>
      <c r="E1418" s="164" t="s">
        <v>1514</v>
      </c>
      <c r="F1418" s="455" t="s">
        <v>1506</v>
      </c>
      <c r="G1418" s="556">
        <v>0.32</v>
      </c>
      <c r="H1418" s="463" t="str">
        <f t="shared" si="1725"/>
        <v>통신관련기사조정인</v>
      </c>
      <c r="I1418" s="671" t="str">
        <f t="shared" si="1718"/>
        <v>통신관련기사조정인</v>
      </c>
      <c r="J1418" s="506" t="str">
        <f>IF(OR($F1418="인",$F1418=""),"",VLOOKUP($H1418,단가!$A:$S,19,FALSE))</f>
        <v/>
      </c>
      <c r="K1418" s="507" t="str">
        <f t="shared" si="1719"/>
        <v/>
      </c>
      <c r="L1418" s="506">
        <f>IF($F1418="인",VLOOKUP($C:$C,노임!$C:$G,4,FALSE),"")</f>
        <v>224214</v>
      </c>
      <c r="M1418" s="507">
        <f t="shared" si="1720"/>
        <v>71748</v>
      </c>
      <c r="N1418" s="507"/>
      <c r="O1418" s="507" t="str">
        <f t="shared" si="1721"/>
        <v/>
      </c>
      <c r="P1418" s="508"/>
      <c r="Q1418" s="509" t="str">
        <f>IF(F1418="인","노임"&amp;VLOOKUP($C:$C,노임!C:G,5,FALSE)&amp;"번","단가"&amp;VLOOKUP($H:$H,단가!$A:$B,2,FALSE)&amp;"번")</f>
        <v>노임5001번</v>
      </c>
      <c r="R1418" s="510"/>
      <c r="S1418" s="131"/>
      <c r="T1418" s="599" t="str">
        <f t="shared" si="1726"/>
        <v>노임5001번</v>
      </c>
      <c r="V1418" s="631"/>
      <c r="W1418" s="471">
        <f t="shared" si="1724"/>
        <v>55</v>
      </c>
      <c r="X1418" s="471" t="e">
        <f t="shared" si="1724"/>
        <v>#REF!</v>
      </c>
      <c r="Y1418" s="471" t="e">
        <f t="shared" si="1727"/>
        <v>#REF!</v>
      </c>
      <c r="Z1418" s="471"/>
      <c r="AA1418" s="471"/>
      <c r="AB1418" s="435"/>
    </row>
    <row r="1419" spans="1:28" s="473" customFormat="1" ht="15.75" customHeight="1" x14ac:dyDescent="0.15">
      <c r="A1419" s="599"/>
      <c r="B1419" s="670"/>
      <c r="C1419" s="164" t="s">
        <v>1505</v>
      </c>
      <c r="D1419" s="165"/>
      <c r="E1419" s="164" t="s">
        <v>1515</v>
      </c>
      <c r="F1419" s="455" t="s">
        <v>1506</v>
      </c>
      <c r="G1419" s="556">
        <v>0.1</v>
      </c>
      <c r="H1419" s="463" t="str">
        <f t="shared" ref="H1419:H1420" si="1728">CONCATENATE(C1419,E1419,F1419)</f>
        <v>통신관련산업기사조정인</v>
      </c>
      <c r="I1419" s="671" t="str">
        <f t="shared" si="1718"/>
        <v>통신관련산업기사조정인</v>
      </c>
      <c r="J1419" s="506" t="str">
        <f>IF(OR($F1419="인",$F1419=""),"",VLOOKUP($H1419,단가!$A:$S,19,FALSE))</f>
        <v/>
      </c>
      <c r="K1419" s="507" t="str">
        <f t="shared" si="1719"/>
        <v/>
      </c>
      <c r="L1419" s="506">
        <f>IF($F1419="인",VLOOKUP($C:$C,노임!$C:$G,4,FALSE),"")</f>
        <v>203601</v>
      </c>
      <c r="M1419" s="507">
        <f t="shared" si="1720"/>
        <v>20360</v>
      </c>
      <c r="N1419" s="507"/>
      <c r="O1419" s="507" t="str">
        <f t="shared" si="1721"/>
        <v/>
      </c>
      <c r="P1419" s="508"/>
      <c r="Q1419" s="509" t="str">
        <f>IF(F1419="인","노임"&amp;VLOOKUP($C:$C,노임!C:G,5,FALSE)&amp;"번","단가"&amp;VLOOKUP($H:$H,단가!$A:$B,2,FALSE)&amp;"번")</f>
        <v>노임5002번</v>
      </c>
      <c r="R1419" s="510"/>
      <c r="S1419" s="131"/>
      <c r="T1419" s="599" t="str">
        <f t="shared" ref="T1419:T1420" si="1729">CONCATENATE(Q1419,R1419)</f>
        <v>노임5002번</v>
      </c>
      <c r="V1419" s="631"/>
      <c r="W1419" s="471">
        <f t="shared" ref="W1419:X1419" si="1730">W1418</f>
        <v>55</v>
      </c>
      <c r="X1419" s="471" t="e">
        <f t="shared" si="1730"/>
        <v>#REF!</v>
      </c>
      <c r="Y1419" s="471" t="e">
        <f t="shared" ref="Y1419:Y1420" si="1731">X1419-W1419</f>
        <v>#REF!</v>
      </c>
      <c r="Z1419" s="471"/>
      <c r="AA1419" s="471"/>
      <c r="AB1419" s="435"/>
    </row>
    <row r="1420" spans="1:28" s="473" customFormat="1" ht="15.75" customHeight="1" x14ac:dyDescent="0.15">
      <c r="A1420" s="599"/>
      <c r="B1420" s="670"/>
      <c r="C1420" s="164" t="s">
        <v>1513</v>
      </c>
      <c r="D1420" s="165"/>
      <c r="E1420" s="164" t="s">
        <v>1516</v>
      </c>
      <c r="F1420" s="455" t="s">
        <v>1506</v>
      </c>
      <c r="G1420" s="556">
        <v>0.52</v>
      </c>
      <c r="H1420" s="463" t="str">
        <f t="shared" si="1728"/>
        <v>통신관련기사시험 및 측정인</v>
      </c>
      <c r="I1420" s="671" t="str">
        <f t="shared" si="1718"/>
        <v>통신관련기사시험 및 측정인</v>
      </c>
      <c r="J1420" s="506" t="str">
        <f>IF(OR($F1420="인",$F1420=""),"",VLOOKUP($H1420,단가!$A:$S,19,FALSE))</f>
        <v/>
      </c>
      <c r="K1420" s="507" t="str">
        <f t="shared" si="1719"/>
        <v/>
      </c>
      <c r="L1420" s="506">
        <f>IF($F1420="인",VLOOKUP($C:$C,노임!$C:$G,4,FALSE),"")</f>
        <v>224214</v>
      </c>
      <c r="M1420" s="507">
        <f t="shared" si="1720"/>
        <v>116591</v>
      </c>
      <c r="N1420" s="507"/>
      <c r="O1420" s="507" t="str">
        <f t="shared" si="1721"/>
        <v/>
      </c>
      <c r="P1420" s="508"/>
      <c r="Q1420" s="509" t="str">
        <f>IF(F1420="인","노임"&amp;VLOOKUP($C:$C,노임!C:G,5,FALSE)&amp;"번","단가"&amp;VLOOKUP($H:$H,단가!$A:$B,2,FALSE)&amp;"번")</f>
        <v>노임5001번</v>
      </c>
      <c r="R1420" s="510"/>
      <c r="S1420" s="131"/>
      <c r="T1420" s="599" t="str">
        <f t="shared" si="1729"/>
        <v>노임5001번</v>
      </c>
      <c r="V1420" s="631"/>
      <c r="W1420" s="471">
        <f t="shared" ref="W1420:X1420" si="1732">W1419</f>
        <v>55</v>
      </c>
      <c r="X1420" s="471" t="e">
        <f t="shared" si="1732"/>
        <v>#REF!</v>
      </c>
      <c r="Y1420" s="471" t="e">
        <f t="shared" si="1731"/>
        <v>#REF!</v>
      </c>
      <c r="Z1420" s="471"/>
      <c r="AA1420" s="471"/>
      <c r="AB1420" s="435"/>
    </row>
    <row r="1421" spans="1:28" s="473" customFormat="1" ht="15.75" customHeight="1" x14ac:dyDescent="0.15">
      <c r="A1421" s="599"/>
      <c r="B1421" s="670"/>
      <c r="C1421" s="164" t="s">
        <v>1505</v>
      </c>
      <c r="D1421" s="165"/>
      <c r="E1421" s="164" t="s">
        <v>1516</v>
      </c>
      <c r="F1421" s="455" t="s">
        <v>1506</v>
      </c>
      <c r="G1421" s="556">
        <v>0.42</v>
      </c>
      <c r="H1421" s="463" t="str">
        <f t="shared" ref="H1421" si="1733">CONCATENATE(C1421,E1421,F1421)</f>
        <v>통신관련산업기사시험 및 측정인</v>
      </c>
      <c r="I1421" s="671" t="str">
        <f t="shared" si="1718"/>
        <v>통신관련산업기사시험 및 측정인</v>
      </c>
      <c r="J1421" s="506" t="str">
        <f>IF(OR($F1421="인",$F1421=""),"",VLOOKUP($H1421,단가!$A:$S,19,FALSE))</f>
        <v/>
      </c>
      <c r="K1421" s="507" t="str">
        <f t="shared" si="1719"/>
        <v/>
      </c>
      <c r="L1421" s="506">
        <f>IF($F1421="인",VLOOKUP($C:$C,노임!$C:$G,4,FALSE),"")</f>
        <v>203601</v>
      </c>
      <c r="M1421" s="507">
        <f t="shared" si="1720"/>
        <v>85512</v>
      </c>
      <c r="N1421" s="507"/>
      <c r="O1421" s="507" t="str">
        <f t="shared" si="1721"/>
        <v/>
      </c>
      <c r="P1421" s="508"/>
      <c r="Q1421" s="509" t="str">
        <f>IF(F1421="인","노임"&amp;VLOOKUP($C:$C,노임!C:G,5,FALSE)&amp;"번","단가"&amp;VLOOKUP($H:$H,단가!$A:$B,2,FALSE)&amp;"번")</f>
        <v>노임5002번</v>
      </c>
      <c r="R1421" s="510"/>
      <c r="S1421" s="131"/>
      <c r="T1421" s="599" t="str">
        <f t="shared" ref="T1421" si="1734">CONCATENATE(Q1421,R1421)</f>
        <v>노임5002번</v>
      </c>
      <c r="V1421" s="631"/>
      <c r="W1421" s="471">
        <f t="shared" ref="W1421:X1421" si="1735">W1420</f>
        <v>55</v>
      </c>
      <c r="X1421" s="471" t="e">
        <f t="shared" si="1735"/>
        <v>#REF!</v>
      </c>
      <c r="Y1421" s="471" t="e">
        <f t="shared" ref="Y1421" si="1736">X1421-W1421</f>
        <v>#REF!</v>
      </c>
      <c r="Z1421" s="471"/>
      <c r="AA1421" s="471"/>
      <c r="AB1421" s="435"/>
    </row>
    <row r="1422" spans="1:28" s="599" customFormat="1" ht="15.75" customHeight="1" x14ac:dyDescent="0.15">
      <c r="B1422" s="670"/>
      <c r="C1422" s="140"/>
      <c r="D1422" s="670"/>
      <c r="E1422" s="643"/>
      <c r="F1422" s="207"/>
      <c r="G1422" s="556"/>
      <c r="H1422" s="463" t="str">
        <f t="shared" ref="H1422:H1431" si="1737">CONCATENATE(C1422,E1422,F1422)</f>
        <v/>
      </c>
      <c r="I1422" s="671"/>
      <c r="J1422" s="506"/>
      <c r="K1422" s="507"/>
      <c r="L1422" s="506"/>
      <c r="M1422" s="507"/>
      <c r="N1422" s="507"/>
      <c r="O1422" s="507"/>
      <c r="P1422" s="508"/>
      <c r="Q1422" s="512"/>
      <c r="R1422" s="534"/>
      <c r="S1422" s="131"/>
      <c r="T1422" s="599" t="str">
        <f t="shared" ref="T1422:T1431" si="1738">CONCATENATE(Q1422,R1422)</f>
        <v/>
      </c>
      <c r="V1422" s="549"/>
      <c r="W1422" s="471">
        <f t="shared" ref="W1422:X1422" si="1739">W1421</f>
        <v>55</v>
      </c>
      <c r="X1422" s="471" t="e">
        <f t="shared" si="1739"/>
        <v>#REF!</v>
      </c>
      <c r="Y1422" s="471" t="e">
        <f t="shared" ref="Y1422:Y1431" si="1740">X1422-W1422</f>
        <v>#REF!</v>
      </c>
      <c r="Z1422" s="471"/>
      <c r="AA1422" s="471"/>
      <c r="AB1422" s="435"/>
    </row>
    <row r="1423" spans="1:28" s="599" customFormat="1" ht="15.75" customHeight="1" x14ac:dyDescent="0.15">
      <c r="B1423" s="670"/>
      <c r="C1423" s="140"/>
      <c r="D1423" s="670"/>
      <c r="E1423" s="643"/>
      <c r="F1423" s="207"/>
      <c r="G1423" s="556"/>
      <c r="H1423" s="463" t="str">
        <f t="shared" si="1737"/>
        <v/>
      </c>
      <c r="I1423" s="671"/>
      <c r="J1423" s="506"/>
      <c r="K1423" s="507"/>
      <c r="L1423" s="506"/>
      <c r="M1423" s="507"/>
      <c r="N1423" s="507"/>
      <c r="O1423" s="507"/>
      <c r="P1423" s="508"/>
      <c r="Q1423" s="512"/>
      <c r="R1423" s="534"/>
      <c r="S1423" s="131"/>
      <c r="T1423" s="599" t="str">
        <f t="shared" si="1738"/>
        <v/>
      </c>
      <c r="V1423" s="549"/>
      <c r="W1423" s="471">
        <f t="shared" ref="W1423:X1423" si="1741">W1422</f>
        <v>55</v>
      </c>
      <c r="X1423" s="471" t="e">
        <f t="shared" si="1741"/>
        <v>#REF!</v>
      </c>
      <c r="Y1423" s="471" t="e">
        <f t="shared" si="1740"/>
        <v>#REF!</v>
      </c>
      <c r="Z1423" s="471"/>
      <c r="AA1423" s="471"/>
      <c r="AB1423" s="435"/>
    </row>
    <row r="1424" spans="1:28" s="599" customFormat="1" ht="15.75" customHeight="1" x14ac:dyDescent="0.15">
      <c r="B1424" s="670"/>
      <c r="C1424" s="140"/>
      <c r="D1424" s="670"/>
      <c r="E1424" s="643"/>
      <c r="F1424" s="207"/>
      <c r="G1424" s="556"/>
      <c r="H1424" s="463" t="str">
        <f t="shared" si="1737"/>
        <v/>
      </c>
      <c r="I1424" s="671"/>
      <c r="J1424" s="506"/>
      <c r="K1424" s="507"/>
      <c r="L1424" s="506"/>
      <c r="M1424" s="507"/>
      <c r="N1424" s="507"/>
      <c r="O1424" s="507"/>
      <c r="P1424" s="508"/>
      <c r="Q1424" s="512"/>
      <c r="R1424" s="513"/>
      <c r="S1424" s="131"/>
      <c r="T1424" s="599" t="str">
        <f t="shared" si="1738"/>
        <v/>
      </c>
      <c r="V1424" s="549"/>
      <c r="W1424" s="471">
        <f t="shared" ref="W1424:X1424" si="1742">W1423</f>
        <v>55</v>
      </c>
      <c r="X1424" s="471" t="e">
        <f t="shared" si="1742"/>
        <v>#REF!</v>
      </c>
      <c r="Y1424" s="471" t="e">
        <f t="shared" si="1740"/>
        <v>#REF!</v>
      </c>
      <c r="Z1424" s="471"/>
      <c r="AA1424" s="471"/>
      <c r="AB1424" s="435"/>
    </row>
    <row r="1425" spans="1:40" s="599" customFormat="1" ht="15.75" customHeight="1" x14ac:dyDescent="0.15">
      <c r="B1425" s="670"/>
      <c r="C1425" s="140"/>
      <c r="D1425" s="670"/>
      <c r="E1425" s="643"/>
      <c r="F1425" s="207"/>
      <c r="G1425" s="556"/>
      <c r="H1425" s="463" t="str">
        <f t="shared" si="1737"/>
        <v/>
      </c>
      <c r="I1425" s="671"/>
      <c r="J1425" s="506"/>
      <c r="K1425" s="507"/>
      <c r="L1425" s="506"/>
      <c r="M1425" s="507"/>
      <c r="N1425" s="507"/>
      <c r="O1425" s="507"/>
      <c r="P1425" s="508"/>
      <c r="Q1425" s="512"/>
      <c r="R1425" s="534"/>
      <c r="S1425" s="131"/>
      <c r="T1425" s="599" t="str">
        <f t="shared" si="1738"/>
        <v/>
      </c>
      <c r="V1425" s="549"/>
      <c r="W1425" s="471">
        <f t="shared" ref="W1425:X1425" si="1743">W1424</f>
        <v>55</v>
      </c>
      <c r="X1425" s="471" t="e">
        <f t="shared" si="1743"/>
        <v>#REF!</v>
      </c>
      <c r="Y1425" s="471" t="e">
        <f t="shared" si="1740"/>
        <v>#REF!</v>
      </c>
      <c r="Z1425" s="471"/>
      <c r="AA1425" s="471"/>
      <c r="AB1425" s="435"/>
    </row>
    <row r="1426" spans="1:40" s="599" customFormat="1" ht="15.75" customHeight="1" x14ac:dyDescent="0.15">
      <c r="B1426" s="670"/>
      <c r="C1426" s="140"/>
      <c r="D1426" s="670"/>
      <c r="E1426" s="643"/>
      <c r="F1426" s="207"/>
      <c r="G1426" s="556"/>
      <c r="H1426" s="463" t="str">
        <f t="shared" si="1737"/>
        <v/>
      </c>
      <c r="I1426" s="671"/>
      <c r="J1426" s="506"/>
      <c r="K1426" s="507"/>
      <c r="L1426" s="506"/>
      <c r="M1426" s="507"/>
      <c r="N1426" s="507"/>
      <c r="O1426" s="507"/>
      <c r="P1426" s="508"/>
      <c r="Q1426" s="512"/>
      <c r="R1426" s="534"/>
      <c r="S1426" s="131"/>
      <c r="T1426" s="599" t="str">
        <f t="shared" si="1738"/>
        <v/>
      </c>
      <c r="V1426" s="549"/>
      <c r="W1426" s="471">
        <f t="shared" ref="W1426:X1426" si="1744">W1425</f>
        <v>55</v>
      </c>
      <c r="X1426" s="471" t="e">
        <f t="shared" si="1744"/>
        <v>#REF!</v>
      </c>
      <c r="Y1426" s="471" t="e">
        <f t="shared" si="1740"/>
        <v>#REF!</v>
      </c>
      <c r="Z1426" s="471"/>
      <c r="AA1426" s="471"/>
      <c r="AB1426" s="435"/>
    </row>
    <row r="1427" spans="1:40" s="599" customFormat="1" ht="15.75" customHeight="1" x14ac:dyDescent="0.15">
      <c r="B1427" s="670"/>
      <c r="C1427" s="140"/>
      <c r="D1427" s="670"/>
      <c r="E1427" s="643"/>
      <c r="F1427" s="207"/>
      <c r="G1427" s="556"/>
      <c r="H1427" s="463" t="str">
        <f t="shared" si="1737"/>
        <v/>
      </c>
      <c r="I1427" s="671"/>
      <c r="J1427" s="506"/>
      <c r="K1427" s="507"/>
      <c r="L1427" s="506"/>
      <c r="M1427" s="507"/>
      <c r="N1427" s="507"/>
      <c r="O1427" s="507"/>
      <c r="P1427" s="508"/>
      <c r="Q1427" s="512"/>
      <c r="R1427" s="513"/>
      <c r="S1427" s="131"/>
      <c r="T1427" s="599" t="str">
        <f t="shared" si="1738"/>
        <v/>
      </c>
      <c r="V1427" s="549"/>
      <c r="W1427" s="471">
        <f t="shared" ref="W1427:X1427" si="1745">W1426</f>
        <v>55</v>
      </c>
      <c r="X1427" s="471" t="e">
        <f t="shared" si="1745"/>
        <v>#REF!</v>
      </c>
      <c r="Y1427" s="471" t="e">
        <f t="shared" si="1740"/>
        <v>#REF!</v>
      </c>
      <c r="Z1427" s="471"/>
      <c r="AA1427" s="471"/>
      <c r="AB1427" s="435"/>
    </row>
    <row r="1428" spans="1:40" s="599" customFormat="1" ht="15.75" customHeight="1" x14ac:dyDescent="0.15">
      <c r="B1428" s="514" t="s">
        <v>801</v>
      </c>
      <c r="C1428" s="515"/>
      <c r="D1428" s="516"/>
      <c r="E1428" s="517"/>
      <c r="F1428" s="518"/>
      <c r="G1428" s="557"/>
      <c r="H1428" s="463" t="str">
        <f t="shared" si="1737"/>
        <v/>
      </c>
      <c r="I1428" s="520">
        <f>목록!$B$61</f>
        <v>55</v>
      </c>
      <c r="J1428" s="521"/>
      <c r="K1428" s="522">
        <f>SUM(K1414:K1427)</f>
        <v>400000</v>
      </c>
      <c r="L1428" s="521"/>
      <c r="M1428" s="522">
        <f>SUM(M1414:M1427)</f>
        <v>415624</v>
      </c>
      <c r="N1428" s="521"/>
      <c r="O1428" s="522">
        <f>SUM(O1414:O1427)</f>
        <v>0</v>
      </c>
      <c r="P1428" s="523"/>
      <c r="Q1428" s="512"/>
      <c r="R1428" s="513"/>
      <c r="S1428" s="524"/>
      <c r="T1428" s="599" t="str">
        <f t="shared" si="1738"/>
        <v/>
      </c>
      <c r="V1428" s="549"/>
      <c r="W1428" s="471">
        <f t="shared" ref="W1428:X1428" si="1746">W1427</f>
        <v>55</v>
      </c>
      <c r="X1428" s="471" t="e">
        <f t="shared" si="1746"/>
        <v>#REF!</v>
      </c>
      <c r="Y1428" s="471" t="e">
        <f t="shared" si="1740"/>
        <v>#REF!</v>
      </c>
      <c r="Z1428" s="471"/>
      <c r="AA1428" s="471"/>
      <c r="AB1428" s="435"/>
    </row>
    <row r="1429" spans="1:40" s="599" customFormat="1" ht="15.75" customHeight="1" x14ac:dyDescent="0.15">
      <c r="B1429" s="453"/>
      <c r="C1429" s="630"/>
      <c r="D1429" s="670"/>
      <c r="E1429" s="643"/>
      <c r="F1429" s="207"/>
      <c r="G1429" s="556"/>
      <c r="H1429" s="463" t="str">
        <f t="shared" si="1737"/>
        <v/>
      </c>
      <c r="I1429" s="671"/>
      <c r="J1429" s="506"/>
      <c r="K1429" s="507"/>
      <c r="L1429" s="506"/>
      <c r="M1429" s="507"/>
      <c r="N1429" s="507"/>
      <c r="O1429" s="507"/>
      <c r="P1429" s="508"/>
      <c r="Q1429" s="512"/>
      <c r="R1429" s="513"/>
      <c r="S1429" s="131"/>
      <c r="T1429" s="599" t="str">
        <f t="shared" si="1738"/>
        <v/>
      </c>
      <c r="V1429" s="549"/>
      <c r="W1429" s="615">
        <f t="shared" ref="W1429:X1430" si="1747">W1428</f>
        <v>55</v>
      </c>
      <c r="X1429" s="471" t="e">
        <f t="shared" si="1747"/>
        <v>#REF!</v>
      </c>
      <c r="Y1429" s="471" t="e">
        <f t="shared" si="1740"/>
        <v>#REF!</v>
      </c>
      <c r="Z1429" s="471"/>
      <c r="AA1429" s="471"/>
      <c r="AB1429" s="435"/>
    </row>
    <row r="1430" spans="1:40" s="599" customFormat="1" ht="15.75" customHeight="1" x14ac:dyDescent="0.15">
      <c r="A1430" s="473"/>
      <c r="B1430" s="453"/>
      <c r="C1430" s="540" t="s">
        <v>1512</v>
      </c>
      <c r="D1430" s="670"/>
      <c r="E1430" s="643"/>
      <c r="F1430" s="207"/>
      <c r="G1430" s="556"/>
      <c r="H1430" s="463" t="str">
        <f t="shared" si="1737"/>
        <v>※ 정보통신표준품셈 7-11-1 방송국 설비 (Power Amp 300W 미만)</v>
      </c>
      <c r="I1430" s="671"/>
      <c r="J1430" s="506"/>
      <c r="K1430" s="507"/>
      <c r="L1430" s="506"/>
      <c r="M1430" s="507"/>
      <c r="N1430" s="507"/>
      <c r="O1430" s="507"/>
      <c r="P1430" s="508"/>
      <c r="Q1430" s="512"/>
      <c r="R1430" s="513"/>
      <c r="S1430" s="131"/>
      <c r="T1430" s="599" t="str">
        <f t="shared" si="1738"/>
        <v/>
      </c>
      <c r="V1430" s="631"/>
      <c r="W1430" s="471">
        <f t="shared" si="1747"/>
        <v>55</v>
      </c>
      <c r="X1430" s="471" t="e">
        <f t="shared" si="1747"/>
        <v>#REF!</v>
      </c>
      <c r="Y1430" s="471" t="e">
        <f t="shared" si="1740"/>
        <v>#REF!</v>
      </c>
      <c r="Z1430" s="471"/>
      <c r="AA1430" s="471"/>
      <c r="AB1430" s="435"/>
    </row>
    <row r="1431" spans="1:40" s="599" customFormat="1" ht="15.75" customHeight="1" x14ac:dyDescent="0.15">
      <c r="B1431" s="514"/>
      <c r="C1431" s="630"/>
      <c r="D1431" s="516"/>
      <c r="E1431" s="517"/>
      <c r="F1431" s="518"/>
      <c r="G1431" s="557"/>
      <c r="H1431" s="463" t="str">
        <f t="shared" si="1737"/>
        <v/>
      </c>
      <c r="I1431" s="520"/>
      <c r="J1431" s="521"/>
      <c r="K1431" s="522"/>
      <c r="L1431" s="521"/>
      <c r="M1431" s="522"/>
      <c r="N1431" s="521"/>
      <c r="O1431" s="522"/>
      <c r="P1431" s="523"/>
      <c r="Q1431" s="512"/>
      <c r="R1431" s="513"/>
      <c r="S1431" s="524"/>
      <c r="T1431" s="599" t="str">
        <f t="shared" si="1738"/>
        <v/>
      </c>
      <c r="U1431" s="473"/>
      <c r="W1431" s="471">
        <f t="shared" ref="W1431:X1431" si="1748">W1430</f>
        <v>55</v>
      </c>
      <c r="X1431" s="471" t="e">
        <f t="shared" si="1748"/>
        <v>#REF!</v>
      </c>
      <c r="Y1431" s="471" t="e">
        <f t="shared" si="1740"/>
        <v>#REF!</v>
      </c>
      <c r="Z1431" s="471"/>
      <c r="AA1431" s="471"/>
      <c r="AB1431" s="435"/>
      <c r="AC1431" s="473"/>
      <c r="AD1431" s="473"/>
      <c r="AE1431" s="473"/>
      <c r="AF1431" s="473"/>
      <c r="AG1431" s="473"/>
      <c r="AH1431" s="473"/>
      <c r="AI1431" s="473"/>
      <c r="AJ1431" s="473"/>
      <c r="AK1431" s="473"/>
      <c r="AL1431" s="473"/>
      <c r="AM1431" s="473"/>
      <c r="AN1431" s="473"/>
    </row>
  </sheetData>
  <autoFilter ref="A1:AA1249"/>
  <mergeCells count="221">
    <mergeCell ref="G918:G919"/>
    <mergeCell ref="G814:G815"/>
    <mergeCell ref="D840:E841"/>
    <mergeCell ref="B866:C867"/>
    <mergeCell ref="F788:F789"/>
    <mergeCell ref="B684:C685"/>
    <mergeCell ref="G788:G789"/>
    <mergeCell ref="G606:G607"/>
    <mergeCell ref="B632:C633"/>
    <mergeCell ref="F632:F633"/>
    <mergeCell ref="G658:G659"/>
    <mergeCell ref="D658:E659"/>
    <mergeCell ref="F658:F659"/>
    <mergeCell ref="D632:E633"/>
    <mergeCell ref="B606:C607"/>
    <mergeCell ref="G684:G685"/>
    <mergeCell ref="D710:E711"/>
    <mergeCell ref="G1152:G1153"/>
    <mergeCell ref="D762:E763"/>
    <mergeCell ref="D1048:E1049"/>
    <mergeCell ref="F606:F607"/>
    <mergeCell ref="F762:F763"/>
    <mergeCell ref="D1100:E1101"/>
    <mergeCell ref="F1100:F1101"/>
    <mergeCell ref="G1100:G1101"/>
    <mergeCell ref="F1074:F1075"/>
    <mergeCell ref="G1074:G1075"/>
    <mergeCell ref="G1048:G1049"/>
    <mergeCell ref="F684:F685"/>
    <mergeCell ref="F710:F711"/>
    <mergeCell ref="G710:G711"/>
    <mergeCell ref="G866:G867"/>
    <mergeCell ref="G1126:G1127"/>
    <mergeCell ref="D684:E685"/>
    <mergeCell ref="G840:G841"/>
    <mergeCell ref="G762:G763"/>
    <mergeCell ref="G736:G737"/>
    <mergeCell ref="G970:G971"/>
    <mergeCell ref="G1022:G1023"/>
    <mergeCell ref="G944:G945"/>
    <mergeCell ref="G892:G893"/>
    <mergeCell ref="Q9:R10"/>
    <mergeCell ref="F9:F10"/>
    <mergeCell ref="D34:E35"/>
    <mergeCell ref="F34:F35"/>
    <mergeCell ref="G34:G35"/>
    <mergeCell ref="B164:C165"/>
    <mergeCell ref="B216:C217"/>
    <mergeCell ref="B268:C269"/>
    <mergeCell ref="D268:E269"/>
    <mergeCell ref="B242:C243"/>
    <mergeCell ref="D242:E243"/>
    <mergeCell ref="F242:F243"/>
    <mergeCell ref="B9:C10"/>
    <mergeCell ref="B60:C61"/>
    <mergeCell ref="F216:F217"/>
    <mergeCell ref="B34:C35"/>
    <mergeCell ref="B86:C87"/>
    <mergeCell ref="F268:F269"/>
    <mergeCell ref="D190:E191"/>
    <mergeCell ref="B112:C113"/>
    <mergeCell ref="D112:E113"/>
    <mergeCell ref="F112:F113"/>
    <mergeCell ref="D164:E165"/>
    <mergeCell ref="F164:F165"/>
    <mergeCell ref="B944:C945"/>
    <mergeCell ref="F918:F919"/>
    <mergeCell ref="G9:G10"/>
    <mergeCell ref="D9:E10"/>
    <mergeCell ref="F86:F87"/>
    <mergeCell ref="G86:G87"/>
    <mergeCell ref="D86:E87"/>
    <mergeCell ref="D60:E61"/>
    <mergeCell ref="F60:F61"/>
    <mergeCell ref="G60:G61"/>
    <mergeCell ref="B346:C347"/>
    <mergeCell ref="D346:E347"/>
    <mergeCell ref="F346:F347"/>
    <mergeCell ref="B554:C555"/>
    <mergeCell ref="F580:F581"/>
    <mergeCell ref="D580:E581"/>
    <mergeCell ref="G580:G581"/>
    <mergeCell ref="B580:C581"/>
    <mergeCell ref="G502:G503"/>
    <mergeCell ref="G346:G347"/>
    <mergeCell ref="F528:F529"/>
    <mergeCell ref="G372:G373"/>
    <mergeCell ref="G450:G451"/>
    <mergeCell ref="D398:E399"/>
    <mergeCell ref="G554:G555"/>
    <mergeCell ref="D554:E555"/>
    <mergeCell ref="F554:F555"/>
    <mergeCell ref="B658:C659"/>
    <mergeCell ref="G632:G633"/>
    <mergeCell ref="G320:G321"/>
    <mergeCell ref="D294:E295"/>
    <mergeCell ref="F294:F295"/>
    <mergeCell ref="G164:G165"/>
    <mergeCell ref="G268:G269"/>
    <mergeCell ref="G398:G399"/>
    <mergeCell ref="G294:G295"/>
    <mergeCell ref="G216:G217"/>
    <mergeCell ref="D372:E373"/>
    <mergeCell ref="F372:F373"/>
    <mergeCell ref="D424:E425"/>
    <mergeCell ref="D450:E451"/>
    <mergeCell ref="F398:F399"/>
    <mergeCell ref="F424:F425"/>
    <mergeCell ref="G424:G425"/>
    <mergeCell ref="G190:G191"/>
    <mergeCell ref="F190:F191"/>
    <mergeCell ref="D216:E217"/>
    <mergeCell ref="B190:C191"/>
    <mergeCell ref="B294:C295"/>
    <mergeCell ref="B320:C321"/>
    <mergeCell ref="B450:C451"/>
    <mergeCell ref="B424:C425"/>
    <mergeCell ref="B372:C373"/>
    <mergeCell ref="D320:E321"/>
    <mergeCell ref="F320:F321"/>
    <mergeCell ref="B398:C399"/>
    <mergeCell ref="F450:F451"/>
    <mergeCell ref="D1204:E1205"/>
    <mergeCell ref="F1204:F1205"/>
    <mergeCell ref="F1022:F1023"/>
    <mergeCell ref="D1126:E1127"/>
    <mergeCell ref="D736:E737"/>
    <mergeCell ref="F944:F945"/>
    <mergeCell ref="F970:F971"/>
    <mergeCell ref="F996:F997"/>
    <mergeCell ref="F840:F841"/>
    <mergeCell ref="F814:F815"/>
    <mergeCell ref="D788:E789"/>
    <mergeCell ref="D1022:E1023"/>
    <mergeCell ref="F892:F893"/>
    <mergeCell ref="D814:E815"/>
    <mergeCell ref="D944:E945"/>
    <mergeCell ref="D1074:E1075"/>
    <mergeCell ref="D918:E919"/>
    <mergeCell ref="F736:F737"/>
    <mergeCell ref="D996:E997"/>
    <mergeCell ref="B1204:C1205"/>
    <mergeCell ref="G1204:G1205"/>
    <mergeCell ref="B476:C477"/>
    <mergeCell ref="G1178:G1179"/>
    <mergeCell ref="G996:G997"/>
    <mergeCell ref="F476:F477"/>
    <mergeCell ref="G476:G477"/>
    <mergeCell ref="D476:E477"/>
    <mergeCell ref="G242:G243"/>
    <mergeCell ref="G528:G529"/>
    <mergeCell ref="B502:C503"/>
    <mergeCell ref="F866:F867"/>
    <mergeCell ref="D502:E503"/>
    <mergeCell ref="B892:C893"/>
    <mergeCell ref="D892:E893"/>
    <mergeCell ref="B710:C711"/>
    <mergeCell ref="D866:E867"/>
    <mergeCell ref="F502:F503"/>
    <mergeCell ref="D606:E607"/>
    <mergeCell ref="D528:E529"/>
    <mergeCell ref="B528:C529"/>
    <mergeCell ref="D1178:E1179"/>
    <mergeCell ref="B788:C789"/>
    <mergeCell ref="F1126:F1127"/>
    <mergeCell ref="G112:G113"/>
    <mergeCell ref="B138:C139"/>
    <mergeCell ref="D138:E139"/>
    <mergeCell ref="F138:F139"/>
    <mergeCell ref="G138:G139"/>
    <mergeCell ref="B1178:C1179"/>
    <mergeCell ref="B1152:C1153"/>
    <mergeCell ref="D1152:E1153"/>
    <mergeCell ref="F1152:F1153"/>
    <mergeCell ref="D970:E971"/>
    <mergeCell ref="F1178:F1179"/>
    <mergeCell ref="B736:C737"/>
    <mergeCell ref="B762:C763"/>
    <mergeCell ref="F1048:F1049"/>
    <mergeCell ref="B1048:C1049"/>
    <mergeCell ref="B1022:C1023"/>
    <mergeCell ref="B1126:C1127"/>
    <mergeCell ref="B840:C841"/>
    <mergeCell ref="B996:C997"/>
    <mergeCell ref="B918:C919"/>
    <mergeCell ref="B1074:C1075"/>
    <mergeCell ref="B1100:C1101"/>
    <mergeCell ref="B970:C971"/>
    <mergeCell ref="B814:C815"/>
    <mergeCell ref="B1308:C1309"/>
    <mergeCell ref="D1308:E1309"/>
    <mergeCell ref="F1308:F1309"/>
    <mergeCell ref="G1308:G1309"/>
    <mergeCell ref="G1230:G1231"/>
    <mergeCell ref="B1230:C1231"/>
    <mergeCell ref="D1230:E1231"/>
    <mergeCell ref="F1230:F1231"/>
    <mergeCell ref="B1282:C1283"/>
    <mergeCell ref="D1282:E1283"/>
    <mergeCell ref="F1282:F1283"/>
    <mergeCell ref="G1282:G1283"/>
    <mergeCell ref="B1256:C1257"/>
    <mergeCell ref="D1256:E1257"/>
    <mergeCell ref="F1256:F1257"/>
    <mergeCell ref="G1256:G1257"/>
    <mergeCell ref="B1360:C1361"/>
    <mergeCell ref="D1360:E1361"/>
    <mergeCell ref="F1360:F1361"/>
    <mergeCell ref="G1360:G1361"/>
    <mergeCell ref="B1334:C1335"/>
    <mergeCell ref="D1334:E1335"/>
    <mergeCell ref="F1334:F1335"/>
    <mergeCell ref="G1334:G1335"/>
    <mergeCell ref="B1412:C1413"/>
    <mergeCell ref="D1412:E1413"/>
    <mergeCell ref="F1412:F1413"/>
    <mergeCell ref="G1412:G1413"/>
    <mergeCell ref="B1386:C1387"/>
    <mergeCell ref="D1386:E1387"/>
    <mergeCell ref="F1386:F1387"/>
    <mergeCell ref="G1386:G1387"/>
  </mergeCells>
  <phoneticPr fontId="6" type="noConversion"/>
  <printOptions horizontalCentered="1"/>
  <pageMargins left="0.39370078740157483" right="0.39370078740157483" top="0.82677165354330717" bottom="0.82677165354330717" header="0.51181102362204722" footer="0.51181102362204722"/>
  <pageSetup paperSize="9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O367"/>
  <sheetViews>
    <sheetView view="pageBreakPreview" topLeftCell="A102" zoomScale="85" zoomScaleSheetLayoutView="85" workbookViewId="0">
      <pane xSplit="10" topLeftCell="K1" activePane="topRight" state="frozen"/>
      <selection activeCell="J17" sqref="J17"/>
      <selection pane="topRight" activeCell="J17" sqref="J17"/>
    </sheetView>
  </sheetViews>
  <sheetFormatPr defaultRowHeight="12" x14ac:dyDescent="0.15"/>
  <cols>
    <col min="1" max="1" width="9.140625" style="699" hidden="1" customWidth="1"/>
    <col min="2" max="2" width="4.85546875" style="155" customWidth="1"/>
    <col min="3" max="3" width="0.85546875" style="155" customWidth="1"/>
    <col min="4" max="4" width="29" style="699" customWidth="1"/>
    <col min="5" max="5" width="0.85546875" style="699" customWidth="1"/>
    <col min="6" max="6" width="29" style="699" customWidth="1"/>
    <col min="7" max="7" width="5.28515625" style="155" customWidth="1"/>
    <col min="8" max="9" width="10.140625" style="156" customWidth="1"/>
    <col min="10" max="10" width="8.28515625" style="156" customWidth="1"/>
    <col min="11" max="11" width="10.140625" style="156" customWidth="1"/>
    <col min="12" max="12" width="8.28515625" style="155" customWidth="1"/>
    <col min="13" max="14" width="11.140625" style="699" bestFit="1" customWidth="1"/>
    <col min="15" max="17" width="13.5703125" style="699" hidden="1" customWidth="1"/>
    <col min="18" max="18" width="13.42578125" style="156" customWidth="1"/>
    <col min="19" max="19" width="13.5703125" style="156" customWidth="1"/>
    <col min="20" max="20" width="10.140625" style="699" customWidth="1"/>
    <col min="21" max="21" width="23.42578125" style="173" customWidth="1"/>
    <col min="22" max="23" width="9.140625" style="699" hidden="1" customWidth="1"/>
    <col min="24" max="24" width="22.7109375" style="716" hidden="1" customWidth="1"/>
    <col min="25" max="25" width="9.140625" style="716" hidden="1" customWidth="1"/>
    <col min="26" max="26" width="9.140625" style="699" hidden="1" customWidth="1"/>
    <col min="27" max="27" width="12.140625" style="785" hidden="1" customWidth="1"/>
    <col min="28" max="28" width="13.5703125" style="785" hidden="1" customWidth="1"/>
    <col min="29" max="29" width="13.5703125" style="786" hidden="1" customWidth="1"/>
    <col min="30" max="30" width="5.85546875" style="763" hidden="1" customWidth="1"/>
    <col min="31" max="31" width="9.140625" style="699" hidden="1" customWidth="1"/>
    <col min="32" max="32" width="10.7109375" style="785" hidden="1" customWidth="1"/>
    <col min="33" max="33" width="13.5703125" style="785" hidden="1" customWidth="1"/>
    <col min="34" max="34" width="13.5703125" style="786" hidden="1" customWidth="1"/>
    <col min="35" max="35" width="5.85546875" style="763" hidden="1" customWidth="1"/>
    <col min="36" max="36" width="9.140625" style="699" hidden="1" customWidth="1"/>
    <col min="37" max="37" width="9.140625" style="699" customWidth="1"/>
    <col min="38" max="16384" width="9.140625" style="699"/>
  </cols>
  <sheetData>
    <row r="1" spans="1:35" ht="20.100000000000001" customHeight="1" x14ac:dyDescent="0.15">
      <c r="B1" s="750" t="s">
        <v>621</v>
      </c>
      <c r="C1" s="159"/>
      <c r="Z1" s="752"/>
      <c r="AA1" s="626" t="s">
        <v>1075</v>
      </c>
      <c r="AB1" s="626" t="s">
        <v>1076</v>
      </c>
      <c r="AC1" s="762" t="s">
        <v>1077</v>
      </c>
      <c r="AE1" s="752"/>
      <c r="AF1" s="626" t="s">
        <v>1075</v>
      </c>
      <c r="AG1" s="626" t="s">
        <v>1076</v>
      </c>
      <c r="AH1" s="762" t="s">
        <v>1077</v>
      </c>
    </row>
    <row r="2" spans="1:35" ht="39.950000000000003" customHeight="1" x14ac:dyDescent="0.15">
      <c r="B2" s="919" t="s">
        <v>622</v>
      </c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158"/>
      <c r="U2" s="636"/>
      <c r="Z2" s="752" t="s">
        <v>1078</v>
      </c>
      <c r="AA2" s="668">
        <v>2017</v>
      </c>
      <c r="AB2" s="668">
        <v>9</v>
      </c>
      <c r="AC2" s="668">
        <v>1</v>
      </c>
      <c r="AE2" s="752" t="s">
        <v>1079</v>
      </c>
      <c r="AF2" s="207">
        <v>2017</v>
      </c>
      <c r="AG2" s="207">
        <v>9</v>
      </c>
      <c r="AH2" s="207">
        <v>8</v>
      </c>
    </row>
    <row r="3" spans="1:35" ht="15" customHeight="1" x14ac:dyDescent="0.15">
      <c r="C3" s="158"/>
      <c r="D3" s="159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7"/>
      <c r="P3" s="157"/>
      <c r="Q3" s="157"/>
      <c r="R3" s="157"/>
      <c r="S3" s="157"/>
      <c r="T3" s="157"/>
      <c r="U3" s="175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5" ht="15.75" customHeight="1" x14ac:dyDescent="0.15">
      <c r="B4" s="750" t="str">
        <f>원가!A3</f>
        <v>건명 : 실학박물관 중앙홀 환경개선공사</v>
      </c>
      <c r="D4" s="159"/>
      <c r="S4" s="764" t="str">
        <f>"조사시점 : "&amp;AA2&amp;"년 "&amp;AB2&amp;"월 "</f>
        <v xml:space="preserve">조사시점 : 2017년 9월 </v>
      </c>
      <c r="T4" s="634">
        <f>원가!L4</f>
        <v>100</v>
      </c>
      <c r="U4" s="658"/>
      <c r="Z4" s="639"/>
      <c r="AA4" s="639"/>
      <c r="AB4" s="639"/>
      <c r="AC4" s="639"/>
      <c r="AD4" s="639"/>
      <c r="AE4" s="639"/>
      <c r="AF4" s="639"/>
      <c r="AG4" s="639"/>
      <c r="AH4" s="639"/>
      <c r="AI4" s="639"/>
    </row>
    <row r="5" spans="1:35" ht="16.7" customHeight="1" x14ac:dyDescent="0.15">
      <c r="B5" s="903" t="s">
        <v>623</v>
      </c>
      <c r="C5" s="899" t="s">
        <v>624</v>
      </c>
      <c r="D5" s="900"/>
      <c r="E5" s="899" t="s">
        <v>618</v>
      </c>
      <c r="F5" s="900"/>
      <c r="G5" s="925" t="s">
        <v>619</v>
      </c>
      <c r="H5" s="161" t="s">
        <v>625</v>
      </c>
      <c r="I5" s="161"/>
      <c r="J5" s="161"/>
      <c r="K5" s="161"/>
      <c r="L5" s="161"/>
      <c r="M5" s="538" t="s">
        <v>626</v>
      </c>
      <c r="N5" s="163"/>
      <c r="O5" s="759"/>
      <c r="P5" s="760"/>
      <c r="Q5" s="765"/>
      <c r="R5" s="927" t="s">
        <v>627</v>
      </c>
      <c r="S5" s="926" t="str">
        <f>"적용단가
(조사단가의 "&amp;T4&amp;"%)"</f>
        <v>적용단가
(조사단가의 100%)</v>
      </c>
      <c r="T5" s="905" t="s">
        <v>643</v>
      </c>
      <c r="U5" s="659"/>
      <c r="Z5" s="920" t="str">
        <f>"물가자료("&amp;AA2&amp;". "&amp;AB2&amp;".)"</f>
        <v>물가자료(2017. 9.)</v>
      </c>
      <c r="AA5" s="920"/>
      <c r="AB5" s="920"/>
      <c r="AC5" s="920"/>
      <c r="AD5" s="921"/>
      <c r="AE5" s="921" t="str">
        <f>"물가정보("&amp;AA2&amp;". "&amp;AB2&amp;".)"</f>
        <v>물가정보(2017. 9.)</v>
      </c>
      <c r="AF5" s="922"/>
      <c r="AG5" s="922"/>
      <c r="AH5" s="922"/>
      <c r="AI5" s="923"/>
    </row>
    <row r="6" spans="1:35" ht="16.7" customHeight="1" x14ac:dyDescent="0.15">
      <c r="B6" s="924"/>
      <c r="C6" s="930"/>
      <c r="D6" s="931"/>
      <c r="E6" s="930"/>
      <c r="F6" s="931"/>
      <c r="G6" s="925"/>
      <c r="H6" s="926" t="s">
        <v>532</v>
      </c>
      <c r="I6" s="161" t="s">
        <v>628</v>
      </c>
      <c r="J6" s="161"/>
      <c r="K6" s="161" t="s">
        <v>629</v>
      </c>
      <c r="L6" s="161"/>
      <c r="M6" s="925" t="s">
        <v>630</v>
      </c>
      <c r="N6" s="925" t="s">
        <v>631</v>
      </c>
      <c r="O6" s="920" t="s">
        <v>632</v>
      </c>
      <c r="P6" s="920" t="s">
        <v>633</v>
      </c>
      <c r="Q6" s="660"/>
      <c r="R6" s="928"/>
      <c r="S6" s="926"/>
      <c r="T6" s="905"/>
      <c r="U6" s="659"/>
      <c r="Z6" s="752" t="s">
        <v>1048</v>
      </c>
      <c r="AA6" s="626" t="str">
        <f>AG2&amp;"월 단가"</f>
        <v>9월 단가</v>
      </c>
      <c r="AB6" s="626" t="str">
        <f>AB2&amp;"월 단가"</f>
        <v>9월 단가</v>
      </c>
      <c r="AC6" s="762" t="s">
        <v>957</v>
      </c>
      <c r="AD6" s="766" t="s">
        <v>958</v>
      </c>
      <c r="AE6" s="767" t="s">
        <v>1048</v>
      </c>
      <c r="AF6" s="626" t="str">
        <f>AG2&amp;"월 단가"</f>
        <v>9월 단가</v>
      </c>
      <c r="AG6" s="626" t="str">
        <f>AB2&amp;"월 단가"</f>
        <v>9월 단가</v>
      </c>
      <c r="AH6" s="762" t="s">
        <v>957</v>
      </c>
      <c r="AI6" s="754" t="s">
        <v>958</v>
      </c>
    </row>
    <row r="7" spans="1:35" ht="16.7" customHeight="1" x14ac:dyDescent="0.15">
      <c r="B7" s="904"/>
      <c r="C7" s="901"/>
      <c r="D7" s="902"/>
      <c r="E7" s="901"/>
      <c r="F7" s="902"/>
      <c r="G7" s="925"/>
      <c r="H7" s="926"/>
      <c r="I7" s="626" t="s">
        <v>634</v>
      </c>
      <c r="J7" s="626" t="s">
        <v>635</v>
      </c>
      <c r="K7" s="626" t="s">
        <v>6</v>
      </c>
      <c r="L7" s="753" t="s">
        <v>635</v>
      </c>
      <c r="M7" s="925"/>
      <c r="N7" s="925"/>
      <c r="O7" s="920"/>
      <c r="P7" s="920"/>
      <c r="Q7" s="768"/>
      <c r="R7" s="929"/>
      <c r="S7" s="926"/>
      <c r="T7" s="769"/>
      <c r="U7" s="660"/>
      <c r="Z7" s="770"/>
      <c r="AA7" s="771"/>
      <c r="AB7" s="771"/>
      <c r="AC7" s="772"/>
      <c r="AD7" s="773"/>
      <c r="AE7" s="774"/>
      <c r="AF7" s="771"/>
      <c r="AG7" s="771"/>
      <c r="AH7" s="772"/>
      <c r="AI7" s="762"/>
    </row>
    <row r="8" spans="1:35" s="700" customFormat="1" ht="19.5" customHeight="1" x14ac:dyDescent="0.15">
      <c r="A8" s="700" t="str">
        <f t="shared" ref="A8:A11" si="0">CONCATENATE(D8,F8,G8)</f>
        <v>ST'L PLATEGAL-V, THK=1.6mmKg</v>
      </c>
      <c r="B8" s="821">
        <v>1</v>
      </c>
      <c r="C8" s="632"/>
      <c r="D8" s="164" t="s">
        <v>436</v>
      </c>
      <c r="E8" s="165"/>
      <c r="F8" s="164" t="s">
        <v>521</v>
      </c>
      <c r="G8" s="455" t="s">
        <v>357</v>
      </c>
      <c r="H8" s="130"/>
      <c r="I8" s="129">
        <f t="shared" ref="I8:I10" si="1">IF(AB8=0,"",TRUNC(AB8/AC8,0))</f>
        <v>914</v>
      </c>
      <c r="J8" s="129">
        <f t="shared" ref="J8:J10" si="2">Z8</f>
        <v>54</v>
      </c>
      <c r="K8" s="129" t="str">
        <f t="shared" ref="K8:K10" si="3">IF(AG8=0,"",TRUNC(AG8/AH8,0))</f>
        <v/>
      </c>
      <c r="L8" s="129">
        <f t="shared" ref="L8:L9" si="4">AE8</f>
        <v>0</v>
      </c>
      <c r="M8" s="130"/>
      <c r="N8" s="130"/>
      <c r="O8" s="130"/>
      <c r="P8" s="130"/>
      <c r="Q8" s="130"/>
      <c r="R8" s="130">
        <f t="shared" ref="R8:R9" si="5">TRUNC(MIN(H8,I8,K8,M8,N8,O8,P8,Q8))</f>
        <v>914</v>
      </c>
      <c r="S8" s="130">
        <f t="shared" ref="S8:S9" si="6">TRUNC(R8*$T$4%)</f>
        <v>914</v>
      </c>
      <c r="T8" s="779"/>
      <c r="U8" s="661"/>
      <c r="V8" s="700" t="str">
        <f>VLOOKUP("단가"&amp;$B:$B&amp;"번",일위!Q:Q,1,FALSE)</f>
        <v>단가1번</v>
      </c>
      <c r="X8" s="472" t="e">
        <f>VLOOKUP(A8,내역!I:I,1,FALSE)</f>
        <v>#N/A</v>
      </c>
      <c r="Y8" s="472"/>
      <c r="Z8" s="779">
        <v>54</v>
      </c>
      <c r="AA8" s="771">
        <v>20390</v>
      </c>
      <c r="AB8" s="771">
        <v>19510</v>
      </c>
      <c r="AC8" s="772">
        <v>21.33</v>
      </c>
      <c r="AD8" s="773" t="str">
        <f t="shared" ref="AD8:AD10" si="7">IF(AA8&gt;AB8,"▼",IF(AA8=AB8,"●","▲"))</f>
        <v>▼</v>
      </c>
      <c r="AE8" s="777">
        <v>0</v>
      </c>
      <c r="AF8" s="771"/>
      <c r="AG8" s="771"/>
      <c r="AH8" s="762"/>
      <c r="AI8" s="762"/>
    </row>
    <row r="9" spans="1:35" s="700" customFormat="1" ht="19.5" customHeight="1" x14ac:dyDescent="0.15">
      <c r="A9" s="700" t="str">
        <f t="shared" si="0"/>
        <v>인서트퍼지인서트 3/8EA</v>
      </c>
      <c r="B9" s="821">
        <f>B8+1</f>
        <v>2</v>
      </c>
      <c r="C9" s="632"/>
      <c r="D9" s="164" t="s">
        <v>437</v>
      </c>
      <c r="E9" s="165"/>
      <c r="F9" s="164" t="s">
        <v>438</v>
      </c>
      <c r="G9" s="455" t="s">
        <v>1151</v>
      </c>
      <c r="H9" s="130"/>
      <c r="I9" s="129">
        <f t="shared" si="1"/>
        <v>710</v>
      </c>
      <c r="J9" s="129">
        <f t="shared" si="2"/>
        <v>87</v>
      </c>
      <c r="K9" s="129" t="str">
        <f t="shared" si="3"/>
        <v/>
      </c>
      <c r="L9" s="129">
        <f t="shared" si="4"/>
        <v>0</v>
      </c>
      <c r="M9" s="130"/>
      <c r="N9" s="130"/>
      <c r="O9" s="130"/>
      <c r="P9" s="130"/>
      <c r="Q9" s="130"/>
      <c r="R9" s="130">
        <f t="shared" si="5"/>
        <v>710</v>
      </c>
      <c r="S9" s="130">
        <f t="shared" si="6"/>
        <v>710</v>
      </c>
      <c r="T9" s="779"/>
      <c r="U9" s="661"/>
      <c r="V9" s="700" t="str">
        <f>VLOOKUP("단가"&amp;$B:$B&amp;"번",일위!Q:Q,1,FALSE)</f>
        <v>단가2번</v>
      </c>
      <c r="X9" s="472" t="e">
        <f>VLOOKUP(A9,내역!I:I,1,FALSE)</f>
        <v>#N/A</v>
      </c>
      <c r="Y9" s="472"/>
      <c r="Z9" s="779">
        <v>87</v>
      </c>
      <c r="AA9" s="771">
        <v>710</v>
      </c>
      <c r="AB9" s="771">
        <v>710</v>
      </c>
      <c r="AC9" s="772">
        <v>1</v>
      </c>
      <c r="AD9" s="773" t="str">
        <f t="shared" si="7"/>
        <v>●</v>
      </c>
      <c r="AE9" s="780"/>
      <c r="AF9" s="771"/>
      <c r="AG9" s="771"/>
      <c r="AH9" s="762"/>
      <c r="AI9" s="762"/>
    </row>
    <row r="10" spans="1:35" s="700" customFormat="1" ht="19.5" customHeight="1" x14ac:dyDescent="0.15">
      <c r="A10" s="700" t="str">
        <f t="shared" ref="A10" si="8">CONCATENATE(D10,F10,G10)</f>
        <v>앙카볼트M16*150EA</v>
      </c>
      <c r="B10" s="821">
        <f t="shared" ref="B10:B73" si="9">B9+1</f>
        <v>3</v>
      </c>
      <c r="C10" s="632"/>
      <c r="D10" s="164" t="s">
        <v>440</v>
      </c>
      <c r="E10" s="165"/>
      <c r="F10" s="164" t="s">
        <v>522</v>
      </c>
      <c r="G10" s="455" t="s">
        <v>352</v>
      </c>
      <c r="H10" s="714">
        <v>437</v>
      </c>
      <c r="I10" s="129">
        <f t="shared" si="1"/>
        <v>740</v>
      </c>
      <c r="J10" s="129">
        <f t="shared" si="2"/>
        <v>92</v>
      </c>
      <c r="K10" s="129" t="str">
        <f t="shared" si="3"/>
        <v/>
      </c>
      <c r="L10" s="129">
        <f t="shared" ref="L10:L21" si="10">AE10</f>
        <v>0</v>
      </c>
      <c r="M10" s="130"/>
      <c r="N10" s="130"/>
      <c r="O10" s="130"/>
      <c r="P10" s="130"/>
      <c r="Q10" s="130"/>
      <c r="R10" s="130">
        <f t="shared" ref="R10:R26" si="11">TRUNC(MIN(H10,I10,K10,M10,N10,O10,P10,Q10))</f>
        <v>437</v>
      </c>
      <c r="S10" s="130">
        <f t="shared" ref="S10:S26" si="12">TRUNC(R10*$T$4%)</f>
        <v>437</v>
      </c>
      <c r="T10" s="779"/>
      <c r="U10" s="661"/>
      <c r="V10" s="700" t="str">
        <f>VLOOKUP("단가"&amp;$B:$B&amp;"번",일위!Q:Q,1,FALSE)</f>
        <v>단가3번</v>
      </c>
      <c r="X10" s="472" t="e">
        <f>VLOOKUP(A10,내역!I:I,1,FALSE)</f>
        <v>#N/A</v>
      </c>
      <c r="Y10" s="472"/>
      <c r="Z10" s="779">
        <v>92</v>
      </c>
      <c r="AA10" s="820">
        <v>740</v>
      </c>
      <c r="AB10" s="820">
        <v>740</v>
      </c>
      <c r="AC10" s="762">
        <v>1</v>
      </c>
      <c r="AD10" s="773" t="str">
        <f t="shared" si="7"/>
        <v>●</v>
      </c>
      <c r="AE10" s="780"/>
      <c r="AF10" s="820"/>
      <c r="AG10" s="820"/>
      <c r="AH10" s="762"/>
      <c r="AI10" s="762"/>
    </row>
    <row r="11" spans="1:35" s="700" customFormat="1" ht="19.5" customHeight="1" x14ac:dyDescent="0.15">
      <c r="A11" s="700" t="str">
        <f t="shared" si="0"/>
        <v>Dry Wall Screw#6 Φ3.5mm, 1"개</v>
      </c>
      <c r="B11" s="821">
        <f t="shared" si="9"/>
        <v>4</v>
      </c>
      <c r="C11" s="632"/>
      <c r="D11" s="164" t="s">
        <v>1152</v>
      </c>
      <c r="E11" s="165"/>
      <c r="F11" s="164" t="s">
        <v>367</v>
      </c>
      <c r="G11" s="455" t="s">
        <v>439</v>
      </c>
      <c r="H11" s="130"/>
      <c r="I11" s="129">
        <f t="shared" ref="I11:I21" si="13">IF(AB11=0,"",TRUNC(AB11/AC11,0))</f>
        <v>7</v>
      </c>
      <c r="J11" s="129">
        <f t="shared" ref="J11:J21" si="14">Z11</f>
        <v>95</v>
      </c>
      <c r="K11" s="129" t="str">
        <f t="shared" ref="K11:K21" si="15">IF(AG11=0,"",TRUNC(AG11/AH11,0))</f>
        <v/>
      </c>
      <c r="L11" s="129">
        <f t="shared" si="10"/>
        <v>0</v>
      </c>
      <c r="M11" s="130"/>
      <c r="N11" s="130"/>
      <c r="O11" s="130"/>
      <c r="P11" s="130"/>
      <c r="Q11" s="130"/>
      <c r="R11" s="130">
        <f t="shared" si="11"/>
        <v>7</v>
      </c>
      <c r="S11" s="130">
        <f t="shared" si="12"/>
        <v>7</v>
      </c>
      <c r="T11" s="779"/>
      <c r="U11" s="661"/>
      <c r="V11" s="700" t="str">
        <f>VLOOKUP("단가"&amp;$B:$B&amp;"번",일위!Q:Q,1,FALSE)</f>
        <v>단가4번</v>
      </c>
      <c r="X11" s="472" t="e">
        <f>VLOOKUP(A11,내역!I:I,1,FALSE)</f>
        <v>#N/A</v>
      </c>
      <c r="Y11" s="472"/>
      <c r="Z11" s="779">
        <v>95</v>
      </c>
      <c r="AA11" s="130">
        <v>7</v>
      </c>
      <c r="AB11" s="130">
        <v>7</v>
      </c>
      <c r="AC11" s="772">
        <v>1</v>
      </c>
      <c r="AD11" s="773" t="str">
        <f t="shared" ref="AD11:AD26" si="16">IF(AA11&gt;AB11,"▼",IF(AA11=AB11,"●","▲"))</f>
        <v>●</v>
      </c>
      <c r="AE11" s="780"/>
      <c r="AF11" s="130"/>
      <c r="AG11" s="130"/>
      <c r="AH11" s="762"/>
      <c r="AI11" s="762"/>
    </row>
    <row r="12" spans="1:35" s="700" customFormat="1" ht="19.5" customHeight="1" x14ac:dyDescent="0.15">
      <c r="A12" s="700" t="str">
        <f t="shared" ref="A12:A26" si="17">CONCATENATE(D12,F12,G12)</f>
        <v>모래강모래㎥</v>
      </c>
      <c r="B12" s="835">
        <f t="shared" si="9"/>
        <v>5</v>
      </c>
      <c r="C12" s="632"/>
      <c r="D12" s="164" t="s">
        <v>581</v>
      </c>
      <c r="E12" s="165"/>
      <c r="F12" s="164" t="s">
        <v>582</v>
      </c>
      <c r="G12" s="455" t="s">
        <v>583</v>
      </c>
      <c r="H12" s="130"/>
      <c r="I12" s="129">
        <f t="shared" si="13"/>
        <v>25000</v>
      </c>
      <c r="J12" s="129">
        <f t="shared" si="14"/>
        <v>103</v>
      </c>
      <c r="K12" s="129">
        <f t="shared" si="15"/>
        <v>28000</v>
      </c>
      <c r="L12" s="129">
        <f t="shared" si="10"/>
        <v>130</v>
      </c>
      <c r="M12" s="130"/>
      <c r="N12" s="130"/>
      <c r="O12" s="130"/>
      <c r="P12" s="130"/>
      <c r="Q12" s="130"/>
      <c r="R12" s="130">
        <f t="shared" si="11"/>
        <v>25000</v>
      </c>
      <c r="S12" s="130">
        <f t="shared" si="12"/>
        <v>25000</v>
      </c>
      <c r="T12" s="779"/>
      <c r="U12" s="661"/>
      <c r="V12" s="700" t="str">
        <f>VLOOKUP("단가"&amp;$B:$B&amp;"번",일위!Q:Q,1,FALSE)</f>
        <v>단가5번</v>
      </c>
      <c r="X12" s="472" t="e">
        <f>VLOOKUP(A12,내역!I:I,1,FALSE)</f>
        <v>#N/A</v>
      </c>
      <c r="Y12" s="472"/>
      <c r="Z12" s="779">
        <v>103</v>
      </c>
      <c r="AA12" s="820">
        <v>25000</v>
      </c>
      <c r="AB12" s="820">
        <v>25000</v>
      </c>
      <c r="AC12" s="762">
        <v>1</v>
      </c>
      <c r="AD12" s="773" t="str">
        <f t="shared" si="16"/>
        <v>●</v>
      </c>
      <c r="AE12" s="777">
        <v>130</v>
      </c>
      <c r="AF12" s="820">
        <v>28000</v>
      </c>
      <c r="AG12" s="820">
        <v>28000</v>
      </c>
      <c r="AH12" s="762">
        <v>1</v>
      </c>
      <c r="AI12" s="762" t="str">
        <f t="shared" ref="AI12:AI13" si="18">IF(AF12&gt;AG12,"▼",IF(AF12=AG12,"●","▲"))</f>
        <v>●</v>
      </c>
    </row>
    <row r="13" spans="1:35" s="700" customFormat="1" ht="19.5" customHeight="1" x14ac:dyDescent="0.15">
      <c r="A13" s="700" t="str">
        <f t="shared" si="17"/>
        <v>보통시멘트KSL 5201Kg</v>
      </c>
      <c r="B13" s="864">
        <f t="shared" si="9"/>
        <v>6</v>
      </c>
      <c r="C13" s="632"/>
      <c r="D13" s="164" t="s">
        <v>579</v>
      </c>
      <c r="E13" s="165"/>
      <c r="F13" s="164" t="s">
        <v>580</v>
      </c>
      <c r="G13" s="455" t="s">
        <v>357</v>
      </c>
      <c r="H13" s="130"/>
      <c r="I13" s="129">
        <f t="shared" si="13"/>
        <v>137</v>
      </c>
      <c r="J13" s="129">
        <f t="shared" si="14"/>
        <v>106</v>
      </c>
      <c r="K13" s="129">
        <f t="shared" si="15"/>
        <v>135</v>
      </c>
      <c r="L13" s="129">
        <f t="shared" si="10"/>
        <v>134</v>
      </c>
      <c r="M13" s="130"/>
      <c r="N13" s="130"/>
      <c r="O13" s="130"/>
      <c r="P13" s="130"/>
      <c r="Q13" s="130"/>
      <c r="R13" s="130">
        <f t="shared" si="11"/>
        <v>135</v>
      </c>
      <c r="S13" s="130">
        <f t="shared" si="12"/>
        <v>135</v>
      </c>
      <c r="T13" s="779"/>
      <c r="U13" s="661"/>
      <c r="V13" s="700" t="str">
        <f>VLOOKUP("단가"&amp;$B:$B&amp;"번",일위!Q:Q,1,FALSE)</f>
        <v>단가6번</v>
      </c>
      <c r="X13" s="472" t="e">
        <f>VLOOKUP(A13,내역!I:I,1,FALSE)</f>
        <v>#N/A</v>
      </c>
      <c r="Y13" s="472"/>
      <c r="Z13" s="779">
        <v>106</v>
      </c>
      <c r="AA13" s="771">
        <v>5500</v>
      </c>
      <c r="AB13" s="771">
        <v>5500</v>
      </c>
      <c r="AC13" s="772">
        <v>40</v>
      </c>
      <c r="AD13" s="773" t="str">
        <f t="shared" si="16"/>
        <v>●</v>
      </c>
      <c r="AE13" s="777">
        <v>134</v>
      </c>
      <c r="AF13" s="771">
        <v>5400</v>
      </c>
      <c r="AG13" s="771">
        <v>5400</v>
      </c>
      <c r="AH13" s="762">
        <v>40</v>
      </c>
      <c r="AI13" s="762" t="str">
        <f t="shared" si="18"/>
        <v>●</v>
      </c>
    </row>
    <row r="14" spans="1:35" s="700" customFormat="1" ht="19.5" customHeight="1" x14ac:dyDescent="0.15">
      <c r="A14" s="700" t="str">
        <f t="shared" ref="A14" si="19">CONCATENATE(D14,F14,G14)</f>
        <v>타일시멘트줄눈용, 백색Kg</v>
      </c>
      <c r="B14" s="864">
        <f t="shared" si="9"/>
        <v>7</v>
      </c>
      <c r="C14" s="632"/>
      <c r="D14" s="164" t="s">
        <v>1213</v>
      </c>
      <c r="E14" s="165"/>
      <c r="F14" s="164" t="s">
        <v>1214</v>
      </c>
      <c r="G14" s="455" t="s">
        <v>357</v>
      </c>
      <c r="H14" s="130"/>
      <c r="I14" s="129">
        <v>192</v>
      </c>
      <c r="J14" s="129">
        <v>109</v>
      </c>
      <c r="K14" s="129">
        <v>192</v>
      </c>
      <c r="L14" s="129">
        <v>135</v>
      </c>
      <c r="M14" s="130"/>
      <c r="N14" s="130"/>
      <c r="O14" s="130"/>
      <c r="P14" s="130"/>
      <c r="Q14" s="130"/>
      <c r="R14" s="130">
        <f t="shared" ref="R14" si="20">TRUNC(MIN(H14,I14,K14,M14,N14,O14,P14,Q14))</f>
        <v>192</v>
      </c>
      <c r="S14" s="130">
        <f t="shared" ref="S14" si="21">TRUNC(R14*$T$4%)</f>
        <v>192</v>
      </c>
      <c r="T14" s="779"/>
      <c r="U14" s="661"/>
      <c r="V14" s="700" t="str">
        <f>VLOOKUP("단가"&amp;$B:$B&amp;"번",일위!Q:Q,1,FALSE)</f>
        <v>단가7번</v>
      </c>
      <c r="X14" s="472" t="e">
        <f>VLOOKUP(A14,내역!I:I,1,FALSE)</f>
        <v>#N/A</v>
      </c>
      <c r="Y14" s="472"/>
      <c r="Z14" s="779">
        <v>106</v>
      </c>
      <c r="AA14" s="771">
        <v>5500</v>
      </c>
      <c r="AB14" s="771">
        <v>5500</v>
      </c>
      <c r="AC14" s="772">
        <v>40</v>
      </c>
      <c r="AD14" s="773" t="str">
        <f t="shared" ref="AD14" si="22">IF(AA14&gt;AB14,"▼",IF(AA14=AB14,"●","▲"))</f>
        <v>●</v>
      </c>
      <c r="AE14" s="777">
        <v>134</v>
      </c>
      <c r="AF14" s="771">
        <v>5400</v>
      </c>
      <c r="AG14" s="771">
        <v>5400</v>
      </c>
      <c r="AH14" s="762">
        <v>40</v>
      </c>
      <c r="AI14" s="762" t="str">
        <f t="shared" ref="AI14" si="23">IF(AF14&gt;AG14,"▼",IF(AF14=AG14,"●","▲"))</f>
        <v>●</v>
      </c>
    </row>
    <row r="15" spans="1:35" s="700" customFormat="1" ht="19.5" customHeight="1" x14ac:dyDescent="0.15">
      <c r="A15" s="700" t="str">
        <f t="shared" si="17"/>
        <v>접착제오공 205Kg</v>
      </c>
      <c r="B15" s="864">
        <f t="shared" si="9"/>
        <v>8</v>
      </c>
      <c r="C15" s="632"/>
      <c r="D15" s="164" t="s">
        <v>365</v>
      </c>
      <c r="E15" s="165"/>
      <c r="F15" s="164" t="s">
        <v>377</v>
      </c>
      <c r="G15" s="455" t="s">
        <v>357</v>
      </c>
      <c r="H15" s="714">
        <v>1750</v>
      </c>
      <c r="I15" s="129">
        <f t="shared" si="13"/>
        <v>1200</v>
      </c>
      <c r="J15" s="129">
        <f t="shared" si="14"/>
        <v>125</v>
      </c>
      <c r="K15" s="129" t="str">
        <f t="shared" si="15"/>
        <v/>
      </c>
      <c r="L15" s="129">
        <f t="shared" si="10"/>
        <v>0</v>
      </c>
      <c r="M15" s="130"/>
      <c r="N15" s="130"/>
      <c r="O15" s="130"/>
      <c r="P15" s="130"/>
      <c r="Q15" s="130"/>
      <c r="R15" s="130">
        <f t="shared" si="11"/>
        <v>1200</v>
      </c>
      <c r="S15" s="130">
        <f t="shared" si="12"/>
        <v>1200</v>
      </c>
      <c r="T15" s="779"/>
      <c r="U15" s="661"/>
      <c r="V15" s="700" t="str">
        <f>VLOOKUP("단가"&amp;$B:$B&amp;"번",일위!Q:Q,1,FALSE)</f>
        <v>단가8번</v>
      </c>
      <c r="X15" s="472" t="e">
        <f>VLOOKUP(A15,내역!I:I,1,FALSE)</f>
        <v>#N/A</v>
      </c>
      <c r="Y15" s="472"/>
      <c r="Z15" s="779">
        <v>125</v>
      </c>
      <c r="AA15" s="820">
        <v>1200</v>
      </c>
      <c r="AB15" s="820">
        <v>1200</v>
      </c>
      <c r="AC15" s="762">
        <v>1</v>
      </c>
      <c r="AD15" s="773" t="str">
        <f t="shared" si="16"/>
        <v>●</v>
      </c>
      <c r="AE15" s="780"/>
      <c r="AF15" s="820"/>
      <c r="AG15" s="820"/>
      <c r="AH15" s="762"/>
      <c r="AI15" s="762"/>
    </row>
    <row r="16" spans="1:35" s="700" customFormat="1" ht="19.5" customHeight="1" x14ac:dyDescent="0.15">
      <c r="A16" s="700" t="str">
        <f t="shared" ref="A16" si="24">CONCATENATE(D16,F16,G16)</f>
        <v>라왕각재국산재</v>
      </c>
      <c r="B16" s="864">
        <f t="shared" si="9"/>
        <v>9</v>
      </c>
      <c r="C16" s="632"/>
      <c r="D16" s="755" t="s">
        <v>1227</v>
      </c>
      <c r="E16" s="756"/>
      <c r="F16" s="755" t="s">
        <v>1228</v>
      </c>
      <c r="G16" s="828" t="s">
        <v>1229</v>
      </c>
      <c r="H16" s="130">
        <v>4228</v>
      </c>
      <c r="I16" s="129">
        <v>5100</v>
      </c>
      <c r="J16" s="129">
        <v>139</v>
      </c>
      <c r="K16" s="129">
        <v>4500</v>
      </c>
      <c r="L16" s="129">
        <v>161</v>
      </c>
      <c r="M16" s="130"/>
      <c r="N16" s="130"/>
      <c r="O16" s="130"/>
      <c r="P16" s="130"/>
      <c r="Q16" s="130"/>
      <c r="R16" s="130">
        <f t="shared" ref="R16" si="25">TRUNC(MIN(H16,I16,K16,M16,N16,O16,P16,Q16))</f>
        <v>4228</v>
      </c>
      <c r="S16" s="130">
        <f t="shared" ref="S16" si="26">TRUNC(R16*$T$4%)</f>
        <v>4228</v>
      </c>
      <c r="T16" s="779"/>
      <c r="U16" s="661"/>
      <c r="V16" s="700" t="str">
        <f>VLOOKUP("단가"&amp;$B:$B&amp;"번",일위!Q:Q,1,FALSE)</f>
        <v>단가9번</v>
      </c>
      <c r="X16" s="472" t="e">
        <f>VLOOKUP(A16,내역!I:I,1,FALSE)</f>
        <v>#N/A</v>
      </c>
      <c r="Y16" s="472"/>
      <c r="Z16" s="779">
        <v>145</v>
      </c>
      <c r="AA16" s="820">
        <v>900</v>
      </c>
      <c r="AB16" s="820">
        <v>900</v>
      </c>
      <c r="AC16" s="762">
        <v>1</v>
      </c>
      <c r="AD16" s="773" t="str">
        <f t="shared" ref="AD16" si="27">IF(AA16&gt;AB16,"▼",IF(AA16=AB16,"●","▲"))</f>
        <v>●</v>
      </c>
      <c r="AE16" s="777">
        <v>165</v>
      </c>
      <c r="AF16" s="820">
        <v>1080</v>
      </c>
      <c r="AG16" s="820">
        <v>1080</v>
      </c>
      <c r="AH16" s="762">
        <v>1</v>
      </c>
      <c r="AI16" s="762" t="str">
        <f t="shared" ref="AI16" si="28">IF(AF16&gt;AG16,"▼",IF(AF16=AG16,"●","▲"))</f>
        <v>●</v>
      </c>
    </row>
    <row r="17" spans="1:35" s="700" customFormat="1" ht="19.5" customHeight="1" x14ac:dyDescent="0.15">
      <c r="A17" s="700" t="str">
        <f t="shared" si="17"/>
        <v>이음철물연결핀, 단관비계EA</v>
      </c>
      <c r="B17" s="864">
        <f t="shared" si="9"/>
        <v>10</v>
      </c>
      <c r="C17" s="632"/>
      <c r="D17" s="164" t="s">
        <v>590</v>
      </c>
      <c r="E17" s="165"/>
      <c r="F17" s="164" t="s">
        <v>591</v>
      </c>
      <c r="G17" s="455" t="s">
        <v>352</v>
      </c>
      <c r="H17" s="130"/>
      <c r="I17" s="129">
        <f t="shared" si="13"/>
        <v>900</v>
      </c>
      <c r="J17" s="129">
        <f t="shared" si="14"/>
        <v>145</v>
      </c>
      <c r="K17" s="129">
        <f t="shared" si="15"/>
        <v>1080</v>
      </c>
      <c r="L17" s="129">
        <f t="shared" si="10"/>
        <v>165</v>
      </c>
      <c r="M17" s="130"/>
      <c r="N17" s="130"/>
      <c r="O17" s="130"/>
      <c r="P17" s="130"/>
      <c r="Q17" s="130"/>
      <c r="R17" s="130">
        <f t="shared" si="11"/>
        <v>900</v>
      </c>
      <c r="S17" s="130">
        <f t="shared" si="12"/>
        <v>900</v>
      </c>
      <c r="T17" s="779"/>
      <c r="U17" s="661"/>
      <c r="V17" s="700" t="str">
        <f>VLOOKUP("단가"&amp;$B:$B&amp;"번",일위!Q:Q,1,FALSE)</f>
        <v>단가10번</v>
      </c>
      <c r="X17" s="472" t="e">
        <f>VLOOKUP(A17,내역!I:I,1,FALSE)</f>
        <v>#N/A</v>
      </c>
      <c r="Y17" s="472"/>
      <c r="Z17" s="779">
        <v>145</v>
      </c>
      <c r="AA17" s="820">
        <v>900</v>
      </c>
      <c r="AB17" s="820">
        <v>900</v>
      </c>
      <c r="AC17" s="762">
        <v>1</v>
      </c>
      <c r="AD17" s="773" t="str">
        <f t="shared" si="16"/>
        <v>●</v>
      </c>
      <c r="AE17" s="777">
        <v>165</v>
      </c>
      <c r="AF17" s="820">
        <v>1080</v>
      </c>
      <c r="AG17" s="820">
        <v>1080</v>
      </c>
      <c r="AH17" s="762">
        <v>1</v>
      </c>
      <c r="AI17" s="762" t="str">
        <f t="shared" ref="AI17:AI26" si="29">IF(AF17&gt;AG17,"▼",IF(AF17=AG17,"●","▲"))</f>
        <v>●</v>
      </c>
    </row>
    <row r="18" spans="1:35" s="700" customFormat="1" ht="19.5" customHeight="1" x14ac:dyDescent="0.15">
      <c r="A18" s="700" t="str">
        <f t="shared" si="17"/>
        <v>가세틀1219*1820, 4.5kgEA</v>
      </c>
      <c r="B18" s="864">
        <f t="shared" si="9"/>
        <v>11</v>
      </c>
      <c r="C18" s="632"/>
      <c r="D18" s="164" t="s">
        <v>592</v>
      </c>
      <c r="E18" s="165"/>
      <c r="F18" s="164" t="s">
        <v>593</v>
      </c>
      <c r="G18" s="455" t="s">
        <v>352</v>
      </c>
      <c r="H18" s="130"/>
      <c r="I18" s="129">
        <f t="shared" si="13"/>
        <v>8000</v>
      </c>
      <c r="J18" s="129">
        <f t="shared" si="14"/>
        <v>146</v>
      </c>
      <c r="K18" s="129">
        <f t="shared" si="15"/>
        <v>8900</v>
      </c>
      <c r="L18" s="129">
        <f t="shared" si="10"/>
        <v>165</v>
      </c>
      <c r="M18" s="130"/>
      <c r="N18" s="130"/>
      <c r="O18" s="130"/>
      <c r="P18" s="130"/>
      <c r="Q18" s="130"/>
      <c r="R18" s="130">
        <f t="shared" si="11"/>
        <v>8000</v>
      </c>
      <c r="S18" s="130">
        <f t="shared" si="12"/>
        <v>8000</v>
      </c>
      <c r="T18" s="779"/>
      <c r="U18" s="661"/>
      <c r="V18" s="700" t="str">
        <f>VLOOKUP("단가"&amp;$B:$B&amp;"번",일위!Q:Q,1,FALSE)</f>
        <v>단가11번</v>
      </c>
      <c r="X18" s="472" t="e">
        <f>VLOOKUP(A18,내역!I:I,1,FALSE)</f>
        <v>#N/A</v>
      </c>
      <c r="Y18" s="472"/>
      <c r="Z18" s="779">
        <v>146</v>
      </c>
      <c r="AA18" s="771">
        <v>8000</v>
      </c>
      <c r="AB18" s="771">
        <v>8000</v>
      </c>
      <c r="AC18" s="772">
        <v>1</v>
      </c>
      <c r="AD18" s="773" t="str">
        <f t="shared" si="16"/>
        <v>●</v>
      </c>
      <c r="AE18" s="777">
        <v>165</v>
      </c>
      <c r="AF18" s="771">
        <v>8900</v>
      </c>
      <c r="AG18" s="771">
        <v>8900</v>
      </c>
      <c r="AH18" s="762">
        <v>1</v>
      </c>
      <c r="AI18" s="762" t="str">
        <f t="shared" si="29"/>
        <v>●</v>
      </c>
    </row>
    <row r="19" spans="1:35" s="700" customFormat="1" ht="19.5" customHeight="1" x14ac:dyDescent="0.15">
      <c r="A19" s="700" t="str">
        <f t="shared" si="17"/>
        <v>비계기본틀H:1,700*W:1,219EA</v>
      </c>
      <c r="B19" s="864">
        <f t="shared" si="9"/>
        <v>12</v>
      </c>
      <c r="C19" s="632"/>
      <c r="D19" s="164" t="s">
        <v>594</v>
      </c>
      <c r="E19" s="165"/>
      <c r="F19" s="164" t="s">
        <v>595</v>
      </c>
      <c r="G19" s="455" t="s">
        <v>352</v>
      </c>
      <c r="H19" s="130"/>
      <c r="I19" s="129">
        <f t="shared" si="13"/>
        <v>24500</v>
      </c>
      <c r="J19" s="129">
        <f t="shared" si="14"/>
        <v>146</v>
      </c>
      <c r="K19" s="129">
        <f t="shared" si="15"/>
        <v>28300</v>
      </c>
      <c r="L19" s="129">
        <f t="shared" si="10"/>
        <v>165</v>
      </c>
      <c r="M19" s="130"/>
      <c r="N19" s="130"/>
      <c r="O19" s="130"/>
      <c r="P19" s="130"/>
      <c r="Q19" s="130"/>
      <c r="R19" s="130">
        <f t="shared" si="11"/>
        <v>24500</v>
      </c>
      <c r="S19" s="130">
        <f t="shared" si="12"/>
        <v>24500</v>
      </c>
      <c r="T19" s="779"/>
      <c r="U19" s="661"/>
      <c r="V19" s="700" t="str">
        <f>VLOOKUP("단가"&amp;$B:$B&amp;"번",일위!Q:Q,1,FALSE)</f>
        <v>단가12번</v>
      </c>
      <c r="X19" s="472" t="e">
        <f>VLOOKUP(A19,내역!I:I,1,FALSE)</f>
        <v>#N/A</v>
      </c>
      <c r="Y19" s="472"/>
      <c r="Z19" s="779">
        <v>146</v>
      </c>
      <c r="AA19" s="820">
        <v>24500</v>
      </c>
      <c r="AB19" s="820">
        <v>24500</v>
      </c>
      <c r="AC19" s="762">
        <v>1</v>
      </c>
      <c r="AD19" s="773" t="str">
        <f t="shared" si="16"/>
        <v>●</v>
      </c>
      <c r="AE19" s="777">
        <v>165</v>
      </c>
      <c r="AF19" s="820">
        <v>28300</v>
      </c>
      <c r="AG19" s="820">
        <v>28300</v>
      </c>
      <c r="AH19" s="762">
        <v>1</v>
      </c>
      <c r="AI19" s="762" t="str">
        <f t="shared" si="29"/>
        <v>●</v>
      </c>
    </row>
    <row r="20" spans="1:35" s="700" customFormat="1" ht="19.5" customHeight="1" x14ac:dyDescent="0.15">
      <c r="A20" s="700" t="str">
        <f t="shared" si="17"/>
        <v>수평띠장L:1829EA</v>
      </c>
      <c r="B20" s="864">
        <f t="shared" si="9"/>
        <v>13</v>
      </c>
      <c r="C20" s="632"/>
      <c r="D20" s="164" t="s">
        <v>596</v>
      </c>
      <c r="E20" s="165"/>
      <c r="F20" s="164" t="s">
        <v>597</v>
      </c>
      <c r="G20" s="455" t="s">
        <v>352</v>
      </c>
      <c r="H20" s="130"/>
      <c r="I20" s="129">
        <f t="shared" si="13"/>
        <v>24000</v>
      </c>
      <c r="J20" s="129">
        <f t="shared" si="14"/>
        <v>146</v>
      </c>
      <c r="K20" s="129">
        <f t="shared" si="15"/>
        <v>25200</v>
      </c>
      <c r="L20" s="129">
        <f t="shared" si="10"/>
        <v>165</v>
      </c>
      <c r="M20" s="130"/>
      <c r="N20" s="130"/>
      <c r="O20" s="130"/>
      <c r="P20" s="130"/>
      <c r="Q20" s="130"/>
      <c r="R20" s="130">
        <f t="shared" si="11"/>
        <v>24000</v>
      </c>
      <c r="S20" s="130">
        <f t="shared" si="12"/>
        <v>24000</v>
      </c>
      <c r="T20" s="779"/>
      <c r="U20" s="661"/>
      <c r="V20" s="700" t="str">
        <f>VLOOKUP("단가"&amp;$B:$B&amp;"번",일위!Q:Q,1,FALSE)</f>
        <v>단가13번</v>
      </c>
      <c r="X20" s="472" t="e">
        <f>VLOOKUP(A20,내역!I:I,1,FALSE)</f>
        <v>#N/A</v>
      </c>
      <c r="Y20" s="472"/>
      <c r="Z20" s="779">
        <v>146</v>
      </c>
      <c r="AA20" s="820">
        <v>24000</v>
      </c>
      <c r="AB20" s="820">
        <v>24000</v>
      </c>
      <c r="AC20" s="762">
        <v>1</v>
      </c>
      <c r="AD20" s="773" t="str">
        <f t="shared" si="16"/>
        <v>●</v>
      </c>
      <c r="AE20" s="777">
        <v>165</v>
      </c>
      <c r="AF20" s="820">
        <v>25200</v>
      </c>
      <c r="AG20" s="820">
        <v>25200</v>
      </c>
      <c r="AH20" s="762">
        <v>1</v>
      </c>
      <c r="AI20" s="762" t="str">
        <f t="shared" si="29"/>
        <v>●</v>
      </c>
    </row>
    <row r="21" spans="1:35" s="700" customFormat="1" ht="19.5" customHeight="1" x14ac:dyDescent="0.15">
      <c r="A21" s="700" t="str">
        <f t="shared" si="17"/>
        <v>쟈키Ø36*600EA</v>
      </c>
      <c r="B21" s="864">
        <f t="shared" si="9"/>
        <v>14</v>
      </c>
      <c r="C21" s="632"/>
      <c r="D21" s="164" t="s">
        <v>598</v>
      </c>
      <c r="E21" s="165"/>
      <c r="F21" s="164" t="s">
        <v>599</v>
      </c>
      <c r="G21" s="455" t="s">
        <v>352</v>
      </c>
      <c r="H21" s="130"/>
      <c r="I21" s="129">
        <f t="shared" si="13"/>
        <v>9500</v>
      </c>
      <c r="J21" s="129">
        <f t="shared" si="14"/>
        <v>146</v>
      </c>
      <c r="K21" s="129">
        <f t="shared" si="15"/>
        <v>10600</v>
      </c>
      <c r="L21" s="129">
        <f t="shared" si="10"/>
        <v>165</v>
      </c>
      <c r="M21" s="130"/>
      <c r="N21" s="130"/>
      <c r="O21" s="130"/>
      <c r="P21" s="130"/>
      <c r="Q21" s="130"/>
      <c r="R21" s="130">
        <f t="shared" si="11"/>
        <v>9500</v>
      </c>
      <c r="S21" s="130">
        <f t="shared" si="12"/>
        <v>9500</v>
      </c>
      <c r="T21" s="779"/>
      <c r="U21" s="661"/>
      <c r="V21" s="700" t="str">
        <f>VLOOKUP("단가"&amp;$B:$B&amp;"번",일위!Q:Q,1,FALSE)</f>
        <v>단가14번</v>
      </c>
      <c r="X21" s="472" t="e">
        <f>VLOOKUP(A21,내역!I:I,1,FALSE)</f>
        <v>#N/A</v>
      </c>
      <c r="Y21" s="472"/>
      <c r="Z21" s="779">
        <v>146</v>
      </c>
      <c r="AA21" s="820">
        <v>9500</v>
      </c>
      <c r="AB21" s="820">
        <v>9500</v>
      </c>
      <c r="AC21" s="762">
        <v>1</v>
      </c>
      <c r="AD21" s="773" t="str">
        <f t="shared" si="16"/>
        <v>●</v>
      </c>
      <c r="AE21" s="777">
        <v>165</v>
      </c>
      <c r="AF21" s="820">
        <v>10600</v>
      </c>
      <c r="AG21" s="820">
        <v>10600</v>
      </c>
      <c r="AH21" s="762">
        <v>1</v>
      </c>
      <c r="AI21" s="762" t="str">
        <f t="shared" si="29"/>
        <v>●</v>
      </c>
    </row>
    <row r="22" spans="1:35" s="700" customFormat="1" ht="19.5" customHeight="1" x14ac:dyDescent="0.15">
      <c r="A22" s="700" t="str">
        <f t="shared" si="17"/>
        <v>인조대리석THK=12mm, 하이막스, 솔리드B㎡</v>
      </c>
      <c r="B22" s="864">
        <f t="shared" si="9"/>
        <v>15</v>
      </c>
      <c r="C22" s="632"/>
      <c r="D22" s="164" t="s">
        <v>1268</v>
      </c>
      <c r="E22" s="165"/>
      <c r="F22" s="164" t="s">
        <v>1274</v>
      </c>
      <c r="G22" s="455" t="s">
        <v>350</v>
      </c>
      <c r="H22" s="130"/>
      <c r="I22" s="129">
        <v>151000</v>
      </c>
      <c r="J22" s="129">
        <v>492</v>
      </c>
      <c r="K22" s="129"/>
      <c r="L22" s="129"/>
      <c r="M22" s="130"/>
      <c r="N22" s="130"/>
      <c r="O22" s="130"/>
      <c r="P22" s="130"/>
      <c r="Q22" s="130"/>
      <c r="R22" s="130">
        <f t="shared" si="11"/>
        <v>151000</v>
      </c>
      <c r="S22" s="130">
        <f t="shared" si="12"/>
        <v>151000</v>
      </c>
      <c r="T22" s="779"/>
      <c r="U22" s="661"/>
      <c r="V22" s="700" t="e">
        <f>VLOOKUP("단가"&amp;$B:$B&amp;"번",일위!Q:Q,1,FALSE)</f>
        <v>#N/A</v>
      </c>
      <c r="X22" s="472" t="e">
        <f>VLOOKUP(A22,내역!I:I,1,FALSE)</f>
        <v>#N/A</v>
      </c>
      <c r="Y22" s="472"/>
      <c r="Z22" s="779">
        <v>543</v>
      </c>
      <c r="AA22" s="820">
        <v>800</v>
      </c>
      <c r="AB22" s="820">
        <v>800</v>
      </c>
      <c r="AC22" s="762">
        <v>1</v>
      </c>
      <c r="AD22" s="773" t="str">
        <f t="shared" si="16"/>
        <v>●</v>
      </c>
      <c r="AE22" s="777" t="s">
        <v>1153</v>
      </c>
      <c r="AF22" s="820">
        <v>930</v>
      </c>
      <c r="AG22" s="820">
        <v>930</v>
      </c>
      <c r="AH22" s="762">
        <v>1</v>
      </c>
      <c r="AI22" s="762" t="str">
        <f t="shared" si="29"/>
        <v>●</v>
      </c>
    </row>
    <row r="23" spans="1:35" s="700" customFormat="1" ht="19.5" customHeight="1" x14ac:dyDescent="0.15">
      <c r="A23" s="700" t="str">
        <f t="shared" si="17"/>
        <v>인조대리석THK=12mm, 하이막스, 칩㎡</v>
      </c>
      <c r="B23" s="864">
        <f t="shared" si="9"/>
        <v>16</v>
      </c>
      <c r="C23" s="632"/>
      <c r="D23" s="164" t="s">
        <v>1268</v>
      </c>
      <c r="E23" s="165"/>
      <c r="F23" s="164" t="s">
        <v>1279</v>
      </c>
      <c r="G23" s="455" t="s">
        <v>350</v>
      </c>
      <c r="H23" s="130"/>
      <c r="I23" s="129">
        <v>165000</v>
      </c>
      <c r="J23" s="129">
        <v>492</v>
      </c>
      <c r="K23" s="129"/>
      <c r="L23" s="129"/>
      <c r="M23" s="130"/>
      <c r="N23" s="130"/>
      <c r="O23" s="130"/>
      <c r="P23" s="130"/>
      <c r="Q23" s="130"/>
      <c r="R23" s="130">
        <f t="shared" si="11"/>
        <v>165000</v>
      </c>
      <c r="S23" s="130">
        <f t="shared" si="12"/>
        <v>165000</v>
      </c>
      <c r="T23" s="779"/>
      <c r="U23" s="661"/>
      <c r="V23" s="700" t="str">
        <f>VLOOKUP("단가"&amp;$B:$B&amp;"번",일위!Q:Q,1,FALSE)</f>
        <v>단가16번</v>
      </c>
      <c r="X23" s="472" t="e">
        <f>VLOOKUP(A23,내역!I:I,1,FALSE)</f>
        <v>#N/A</v>
      </c>
      <c r="Y23" s="472"/>
      <c r="Z23" s="779">
        <v>543</v>
      </c>
      <c r="AA23" s="130">
        <v>780</v>
      </c>
      <c r="AB23" s="130">
        <v>780</v>
      </c>
      <c r="AC23" s="772">
        <v>1</v>
      </c>
      <c r="AD23" s="773" t="str">
        <f t="shared" si="16"/>
        <v>●</v>
      </c>
      <c r="AE23" s="777" t="s">
        <v>1153</v>
      </c>
      <c r="AF23" s="130">
        <v>780</v>
      </c>
      <c r="AG23" s="130">
        <v>780</v>
      </c>
      <c r="AH23" s="762">
        <v>1</v>
      </c>
      <c r="AI23" s="762" t="str">
        <f t="shared" si="29"/>
        <v>●</v>
      </c>
    </row>
    <row r="24" spans="1:35" s="700" customFormat="1" ht="19.5" customHeight="1" x14ac:dyDescent="0.15">
      <c r="A24" s="700" t="str">
        <f t="shared" si="17"/>
        <v>인조대리석THK=12mm, 하이막스, 프리미엄㎡</v>
      </c>
      <c r="B24" s="864">
        <f t="shared" si="9"/>
        <v>17</v>
      </c>
      <c r="C24" s="632"/>
      <c r="D24" s="164" t="s">
        <v>1268</v>
      </c>
      <c r="E24" s="165"/>
      <c r="F24" s="164" t="s">
        <v>1276</v>
      </c>
      <c r="G24" s="455" t="s">
        <v>350</v>
      </c>
      <c r="H24" s="130"/>
      <c r="I24" s="129">
        <v>216000</v>
      </c>
      <c r="J24" s="129">
        <v>492</v>
      </c>
      <c r="K24" s="129"/>
      <c r="L24" s="129"/>
      <c r="M24" s="130"/>
      <c r="N24" s="130"/>
      <c r="O24" s="130"/>
      <c r="P24" s="130"/>
      <c r="Q24" s="130"/>
      <c r="R24" s="130">
        <f t="shared" si="11"/>
        <v>216000</v>
      </c>
      <c r="S24" s="130">
        <f t="shared" si="12"/>
        <v>216000</v>
      </c>
      <c r="T24" s="779"/>
      <c r="U24" s="661"/>
      <c r="V24" s="700" t="e">
        <f>VLOOKUP("단가"&amp;$B:$B&amp;"번",일위!Q:Q,1,FALSE)</f>
        <v>#N/A</v>
      </c>
      <c r="X24" s="472" t="e">
        <f>VLOOKUP(A24,내역!I:I,1,FALSE)</f>
        <v>#N/A</v>
      </c>
      <c r="Y24" s="472"/>
      <c r="Z24" s="779">
        <v>543</v>
      </c>
      <c r="AA24" s="130">
        <v>2140</v>
      </c>
      <c r="AB24" s="130">
        <v>2140</v>
      </c>
      <c r="AC24" s="772">
        <v>1</v>
      </c>
      <c r="AD24" s="773" t="str">
        <f t="shared" si="16"/>
        <v>●</v>
      </c>
      <c r="AE24" s="777" t="s">
        <v>1153</v>
      </c>
      <c r="AF24" s="130">
        <v>2140</v>
      </c>
      <c r="AG24" s="130">
        <v>2140</v>
      </c>
      <c r="AH24" s="762">
        <v>1</v>
      </c>
      <c r="AI24" s="762" t="str">
        <f t="shared" si="29"/>
        <v>●</v>
      </c>
    </row>
    <row r="25" spans="1:35" s="700" customFormat="1" ht="19.5" customHeight="1" x14ac:dyDescent="0.15">
      <c r="A25" s="700" t="str">
        <f t="shared" ref="A25" si="30">CONCATENATE(D25,F25,G25)</f>
        <v>인조대리석(가공시공비)상판류/ 판재가공, 제작 및 본딩m</v>
      </c>
      <c r="B25" s="864">
        <f t="shared" si="9"/>
        <v>18</v>
      </c>
      <c r="C25" s="632"/>
      <c r="D25" s="164" t="s">
        <v>1270</v>
      </c>
      <c r="E25" s="165"/>
      <c r="F25" s="164" t="s">
        <v>1272</v>
      </c>
      <c r="G25" s="455" t="s">
        <v>351</v>
      </c>
      <c r="H25" s="130"/>
      <c r="I25" s="129">
        <v>109000</v>
      </c>
      <c r="J25" s="129">
        <v>492</v>
      </c>
      <c r="K25" s="129"/>
      <c r="L25" s="129"/>
      <c r="M25" s="130"/>
      <c r="N25" s="130"/>
      <c r="O25" s="130"/>
      <c r="P25" s="130"/>
      <c r="Q25" s="130"/>
      <c r="R25" s="130">
        <f t="shared" ref="R25" si="31">TRUNC(MIN(H25,I25,K25,M25,N25,O25,P25,Q25))</f>
        <v>109000</v>
      </c>
      <c r="S25" s="130">
        <f t="shared" ref="S25" si="32">TRUNC(R25*$T$4%)</f>
        <v>109000</v>
      </c>
      <c r="T25" s="779"/>
      <c r="U25" s="661"/>
      <c r="V25" s="700" t="str">
        <f>VLOOKUP("단가"&amp;$B:$B&amp;"번",일위!Q:Q,1,FALSE)</f>
        <v>단가18번</v>
      </c>
      <c r="X25" s="472" t="e">
        <f>VLOOKUP(A25,내역!I:I,1,FALSE)</f>
        <v>#N/A</v>
      </c>
      <c r="Y25" s="472"/>
      <c r="Z25" s="779">
        <v>543</v>
      </c>
      <c r="AA25" s="130">
        <v>2140</v>
      </c>
      <c r="AB25" s="130">
        <v>2140</v>
      </c>
      <c r="AC25" s="772">
        <v>1</v>
      </c>
      <c r="AD25" s="773" t="str">
        <f t="shared" ref="AD25" si="33">IF(AA25&gt;AB25,"▼",IF(AA25=AB25,"●","▲"))</f>
        <v>●</v>
      </c>
      <c r="AE25" s="777" t="s">
        <v>1153</v>
      </c>
      <c r="AF25" s="130">
        <v>2140</v>
      </c>
      <c r="AG25" s="130">
        <v>2140</v>
      </c>
      <c r="AH25" s="762">
        <v>1</v>
      </c>
      <c r="AI25" s="762" t="str">
        <f t="shared" ref="AI25" si="34">IF(AF25&gt;AG25,"▼",IF(AF25=AG25,"●","▲"))</f>
        <v>●</v>
      </c>
    </row>
    <row r="26" spans="1:35" s="700" customFormat="1" ht="19.5" customHeight="1" x14ac:dyDescent="0.15">
      <c r="A26" s="700" t="str">
        <f t="shared" si="17"/>
        <v>인조대리석(가공시공비)벽체/ 판재가공, 현장접합 및 본딩㎡</v>
      </c>
      <c r="B26" s="864">
        <f t="shared" si="9"/>
        <v>19</v>
      </c>
      <c r="C26" s="632"/>
      <c r="D26" s="164" t="s">
        <v>1270</v>
      </c>
      <c r="E26" s="165"/>
      <c r="F26" s="164" t="s">
        <v>1273</v>
      </c>
      <c r="G26" s="455" t="s">
        <v>350</v>
      </c>
      <c r="H26" s="130"/>
      <c r="I26" s="129">
        <v>159000</v>
      </c>
      <c r="J26" s="129">
        <v>492</v>
      </c>
      <c r="K26" s="129"/>
      <c r="L26" s="129"/>
      <c r="M26" s="130"/>
      <c r="N26" s="130"/>
      <c r="O26" s="130"/>
      <c r="P26" s="130"/>
      <c r="Q26" s="130"/>
      <c r="R26" s="130">
        <f t="shared" si="11"/>
        <v>159000</v>
      </c>
      <c r="S26" s="130">
        <f t="shared" si="12"/>
        <v>159000</v>
      </c>
      <c r="T26" s="779"/>
      <c r="U26" s="661"/>
      <c r="V26" s="700" t="str">
        <f>VLOOKUP("단가"&amp;$B:$B&amp;"번",일위!Q:Q,1,FALSE)</f>
        <v>단가19번</v>
      </c>
      <c r="X26" s="472" t="e">
        <f>VLOOKUP(A26,내역!I:I,1,FALSE)</f>
        <v>#N/A</v>
      </c>
      <c r="Y26" s="472"/>
      <c r="Z26" s="779">
        <v>543</v>
      </c>
      <c r="AA26" s="130">
        <v>4580</v>
      </c>
      <c r="AB26" s="130">
        <v>4580</v>
      </c>
      <c r="AC26" s="772">
        <v>1</v>
      </c>
      <c r="AD26" s="773" t="str">
        <f t="shared" si="16"/>
        <v>●</v>
      </c>
      <c r="AE26" s="777" t="s">
        <v>1153</v>
      </c>
      <c r="AF26" s="130">
        <v>2580</v>
      </c>
      <c r="AG26" s="130">
        <v>2580</v>
      </c>
      <c r="AH26" s="762">
        <v>1</v>
      </c>
      <c r="AI26" s="762" t="str">
        <f t="shared" si="29"/>
        <v>●</v>
      </c>
    </row>
    <row r="27" spans="1:35" s="700" customFormat="1" ht="19.5" customHeight="1" x14ac:dyDescent="0.15">
      <c r="A27" s="700" t="str">
        <f t="shared" ref="A27:A33" si="35">CONCATENATE(D27,F27,G27)</f>
        <v>M-BARGAL'V 0.5T*50*19m</v>
      </c>
      <c r="B27" s="864">
        <f t="shared" si="9"/>
        <v>20</v>
      </c>
      <c r="C27" s="632"/>
      <c r="D27" s="164" t="s">
        <v>363</v>
      </c>
      <c r="E27" s="165"/>
      <c r="F27" s="164" t="s">
        <v>362</v>
      </c>
      <c r="G27" s="455" t="s">
        <v>351</v>
      </c>
      <c r="H27" s="130"/>
      <c r="I27" s="129">
        <f t="shared" ref="I27:I33" si="36">IF(AB27=0,"",TRUNC(AB27/AC27,0))</f>
        <v>800</v>
      </c>
      <c r="J27" s="129">
        <f t="shared" ref="J27:J33" si="37">Z27</f>
        <v>543</v>
      </c>
      <c r="K27" s="129">
        <f t="shared" ref="K27:K33" si="38">IF(AG27=0,"",TRUNC(AG27/AH27,0))</f>
        <v>930</v>
      </c>
      <c r="L27" s="129" t="str">
        <f t="shared" ref="L27:L33" si="39">AE27</f>
        <v>419(2)</v>
      </c>
      <c r="M27" s="130"/>
      <c r="N27" s="130"/>
      <c r="O27" s="130"/>
      <c r="P27" s="130"/>
      <c r="Q27" s="130"/>
      <c r="R27" s="130">
        <f t="shared" ref="R27:R33" si="40">TRUNC(MIN(H27,I27,K27,M27,N27,O27,P27,Q27))</f>
        <v>800</v>
      </c>
      <c r="S27" s="130">
        <f t="shared" ref="S27:S33" si="41">TRUNC(R27*$T$4%)</f>
        <v>800</v>
      </c>
      <c r="T27" s="779"/>
      <c r="U27" s="661"/>
      <c r="V27" s="700" t="str">
        <f>VLOOKUP("단가"&amp;$B:$B&amp;"번",일위!Q:Q,1,FALSE)</f>
        <v>단가20번</v>
      </c>
      <c r="X27" s="472" t="e">
        <f>VLOOKUP(A27,내역!I:I,1,FALSE)</f>
        <v>#N/A</v>
      </c>
      <c r="Y27" s="472"/>
      <c r="Z27" s="779">
        <v>543</v>
      </c>
      <c r="AA27" s="820">
        <v>800</v>
      </c>
      <c r="AB27" s="820">
        <v>800</v>
      </c>
      <c r="AC27" s="762">
        <v>1</v>
      </c>
      <c r="AD27" s="773" t="str">
        <f t="shared" ref="AD27:AD33" si="42">IF(AA27&gt;AB27,"▼",IF(AA27=AB27,"●","▲"))</f>
        <v>●</v>
      </c>
      <c r="AE27" s="777" t="s">
        <v>1153</v>
      </c>
      <c r="AF27" s="820">
        <v>930</v>
      </c>
      <c r="AG27" s="820">
        <v>930</v>
      </c>
      <c r="AH27" s="762">
        <v>1</v>
      </c>
      <c r="AI27" s="762" t="str">
        <f t="shared" ref="AI27:AI37" si="43">IF(AF27&gt;AG27,"▼",IF(AF27=AG27,"●","▲"))</f>
        <v>●</v>
      </c>
    </row>
    <row r="28" spans="1:35" s="700" customFormat="1" ht="19.5" customHeight="1" x14ac:dyDescent="0.15">
      <c r="A28" s="700" t="str">
        <f t="shared" si="35"/>
        <v>마이너찬넬GAL'V 1.2T*19*10m</v>
      </c>
      <c r="B28" s="864">
        <f t="shared" si="9"/>
        <v>21</v>
      </c>
      <c r="C28" s="632"/>
      <c r="D28" s="164" t="s">
        <v>443</v>
      </c>
      <c r="E28" s="165"/>
      <c r="F28" s="164" t="s">
        <v>444</v>
      </c>
      <c r="G28" s="455" t="s">
        <v>351</v>
      </c>
      <c r="H28" s="130"/>
      <c r="I28" s="129">
        <f t="shared" si="36"/>
        <v>780</v>
      </c>
      <c r="J28" s="129">
        <f t="shared" si="37"/>
        <v>543</v>
      </c>
      <c r="K28" s="129">
        <f t="shared" si="38"/>
        <v>780</v>
      </c>
      <c r="L28" s="129" t="str">
        <f t="shared" si="39"/>
        <v>419(2)</v>
      </c>
      <c r="M28" s="130"/>
      <c r="N28" s="130"/>
      <c r="O28" s="130"/>
      <c r="P28" s="130"/>
      <c r="Q28" s="130"/>
      <c r="R28" s="130">
        <f t="shared" si="40"/>
        <v>780</v>
      </c>
      <c r="S28" s="130">
        <f t="shared" si="41"/>
        <v>780</v>
      </c>
      <c r="T28" s="779"/>
      <c r="U28" s="661"/>
      <c r="V28" s="700" t="str">
        <f>VLOOKUP("단가"&amp;$B:$B&amp;"번",일위!Q:Q,1,FALSE)</f>
        <v>단가21번</v>
      </c>
      <c r="X28" s="472" t="e">
        <f>VLOOKUP(A28,내역!I:I,1,FALSE)</f>
        <v>#N/A</v>
      </c>
      <c r="Y28" s="472"/>
      <c r="Z28" s="779">
        <v>543</v>
      </c>
      <c r="AA28" s="130">
        <v>780</v>
      </c>
      <c r="AB28" s="130">
        <v>780</v>
      </c>
      <c r="AC28" s="772">
        <v>1</v>
      </c>
      <c r="AD28" s="773" t="str">
        <f t="shared" si="42"/>
        <v>●</v>
      </c>
      <c r="AE28" s="777" t="s">
        <v>1153</v>
      </c>
      <c r="AF28" s="130">
        <v>780</v>
      </c>
      <c r="AG28" s="130">
        <v>780</v>
      </c>
      <c r="AH28" s="762">
        <v>1</v>
      </c>
      <c r="AI28" s="762" t="str">
        <f t="shared" si="43"/>
        <v>●</v>
      </c>
    </row>
    <row r="29" spans="1:35" s="700" customFormat="1" ht="19.5" customHeight="1" x14ac:dyDescent="0.15">
      <c r="A29" s="700" t="str">
        <f t="shared" si="35"/>
        <v>메탈 러너67*40*0.8m</v>
      </c>
      <c r="B29" s="864">
        <f t="shared" si="9"/>
        <v>22</v>
      </c>
      <c r="C29" s="632"/>
      <c r="D29" s="164" t="s">
        <v>445</v>
      </c>
      <c r="E29" s="165"/>
      <c r="F29" s="164" t="s">
        <v>446</v>
      </c>
      <c r="G29" s="455" t="s">
        <v>351</v>
      </c>
      <c r="H29" s="130"/>
      <c r="I29" s="129">
        <f t="shared" si="36"/>
        <v>2140</v>
      </c>
      <c r="J29" s="129">
        <f t="shared" si="37"/>
        <v>543</v>
      </c>
      <c r="K29" s="129">
        <f t="shared" si="38"/>
        <v>2140</v>
      </c>
      <c r="L29" s="129" t="str">
        <f t="shared" si="39"/>
        <v>419(2)</v>
      </c>
      <c r="M29" s="130"/>
      <c r="N29" s="130"/>
      <c r="O29" s="130"/>
      <c r="P29" s="130"/>
      <c r="Q29" s="130"/>
      <c r="R29" s="130">
        <f t="shared" si="40"/>
        <v>2140</v>
      </c>
      <c r="S29" s="130">
        <f t="shared" si="41"/>
        <v>2140</v>
      </c>
      <c r="T29" s="779"/>
      <c r="U29" s="661"/>
      <c r="V29" s="700" t="str">
        <f>VLOOKUP("단가"&amp;$B:$B&amp;"번",일위!Q:Q,1,FALSE)</f>
        <v>단가22번</v>
      </c>
      <c r="X29" s="472" t="e">
        <f>VLOOKUP(A29,내역!I:I,1,FALSE)</f>
        <v>#N/A</v>
      </c>
      <c r="Y29" s="472"/>
      <c r="Z29" s="779">
        <v>543</v>
      </c>
      <c r="AA29" s="130">
        <v>2140</v>
      </c>
      <c r="AB29" s="130">
        <v>2140</v>
      </c>
      <c r="AC29" s="772">
        <v>1</v>
      </c>
      <c r="AD29" s="773" t="str">
        <f t="shared" si="42"/>
        <v>●</v>
      </c>
      <c r="AE29" s="777" t="s">
        <v>1153</v>
      </c>
      <c r="AF29" s="130">
        <v>2140</v>
      </c>
      <c r="AG29" s="130">
        <v>2140</v>
      </c>
      <c r="AH29" s="762">
        <v>1</v>
      </c>
      <c r="AI29" s="762" t="str">
        <f t="shared" si="43"/>
        <v>●</v>
      </c>
    </row>
    <row r="30" spans="1:35" s="700" customFormat="1" ht="19.5" customHeight="1" x14ac:dyDescent="0.15">
      <c r="A30" s="700" t="str">
        <f t="shared" si="35"/>
        <v>메탈 스터드(Metal Stud)65*45*0.8m</v>
      </c>
      <c r="B30" s="864">
        <f t="shared" si="9"/>
        <v>23</v>
      </c>
      <c r="C30" s="632"/>
      <c r="D30" s="164" t="s">
        <v>447</v>
      </c>
      <c r="E30" s="165"/>
      <c r="F30" s="164" t="s">
        <v>448</v>
      </c>
      <c r="G30" s="455" t="s">
        <v>351</v>
      </c>
      <c r="H30" s="130"/>
      <c r="I30" s="129">
        <f t="shared" si="36"/>
        <v>4580</v>
      </c>
      <c r="J30" s="129">
        <f t="shared" si="37"/>
        <v>543</v>
      </c>
      <c r="K30" s="129">
        <f t="shared" si="38"/>
        <v>2580</v>
      </c>
      <c r="L30" s="129" t="str">
        <f t="shared" si="39"/>
        <v>419(2)</v>
      </c>
      <c r="M30" s="130"/>
      <c r="N30" s="130"/>
      <c r="O30" s="130"/>
      <c r="P30" s="130"/>
      <c r="Q30" s="130"/>
      <c r="R30" s="130">
        <f t="shared" si="40"/>
        <v>2580</v>
      </c>
      <c r="S30" s="130">
        <f t="shared" si="41"/>
        <v>2580</v>
      </c>
      <c r="T30" s="779"/>
      <c r="U30" s="661"/>
      <c r="V30" s="700" t="str">
        <f>VLOOKUP("단가"&amp;$B:$B&amp;"번",일위!Q:Q,1,FALSE)</f>
        <v>단가23번</v>
      </c>
      <c r="X30" s="472" t="e">
        <f>VLOOKUP(A30,내역!I:I,1,FALSE)</f>
        <v>#N/A</v>
      </c>
      <c r="Y30" s="472"/>
      <c r="Z30" s="779">
        <v>543</v>
      </c>
      <c r="AA30" s="130">
        <v>4580</v>
      </c>
      <c r="AB30" s="130">
        <v>4580</v>
      </c>
      <c r="AC30" s="772">
        <v>1</v>
      </c>
      <c r="AD30" s="773" t="str">
        <f t="shared" si="42"/>
        <v>●</v>
      </c>
      <c r="AE30" s="777" t="s">
        <v>1153</v>
      </c>
      <c r="AF30" s="130">
        <v>2580</v>
      </c>
      <c r="AG30" s="130">
        <v>2580</v>
      </c>
      <c r="AH30" s="762">
        <v>1</v>
      </c>
      <c r="AI30" s="762" t="str">
        <f t="shared" si="43"/>
        <v>●</v>
      </c>
    </row>
    <row r="31" spans="1:35" s="700" customFormat="1" ht="19.5" customHeight="1" x14ac:dyDescent="0.15">
      <c r="A31" s="700" t="str">
        <f t="shared" si="35"/>
        <v>케링찬넬GAL'V 1.2T*38*12m</v>
      </c>
      <c r="B31" s="864">
        <f t="shared" si="9"/>
        <v>24</v>
      </c>
      <c r="C31" s="632"/>
      <c r="D31" s="164" t="s">
        <v>449</v>
      </c>
      <c r="E31" s="165"/>
      <c r="F31" s="164" t="s">
        <v>450</v>
      </c>
      <c r="G31" s="455" t="s">
        <v>351</v>
      </c>
      <c r="H31" s="130"/>
      <c r="I31" s="129">
        <f t="shared" si="36"/>
        <v>1250</v>
      </c>
      <c r="J31" s="129">
        <f t="shared" si="37"/>
        <v>543</v>
      </c>
      <c r="K31" s="129">
        <f t="shared" si="38"/>
        <v>1250</v>
      </c>
      <c r="L31" s="129" t="str">
        <f t="shared" si="39"/>
        <v>419(2)</v>
      </c>
      <c r="M31" s="130"/>
      <c r="N31" s="130"/>
      <c r="O31" s="130"/>
      <c r="P31" s="130"/>
      <c r="Q31" s="130"/>
      <c r="R31" s="130">
        <f t="shared" si="40"/>
        <v>1250</v>
      </c>
      <c r="S31" s="130">
        <f t="shared" si="41"/>
        <v>1250</v>
      </c>
      <c r="T31" s="779"/>
      <c r="U31" s="661"/>
      <c r="V31" s="700" t="str">
        <f>VLOOKUP("단가"&amp;$B:$B&amp;"번",일위!Q:Q,1,FALSE)</f>
        <v>단가24번</v>
      </c>
      <c r="X31" s="472" t="e">
        <f>VLOOKUP(A31,내역!I:I,1,FALSE)</f>
        <v>#N/A</v>
      </c>
      <c r="Y31" s="472"/>
      <c r="Z31" s="779">
        <v>543</v>
      </c>
      <c r="AA31" s="130">
        <v>1250</v>
      </c>
      <c r="AB31" s="130">
        <v>1250</v>
      </c>
      <c r="AC31" s="772">
        <v>1</v>
      </c>
      <c r="AD31" s="773" t="str">
        <f t="shared" si="42"/>
        <v>●</v>
      </c>
      <c r="AE31" s="777" t="s">
        <v>1154</v>
      </c>
      <c r="AF31" s="130">
        <v>1250</v>
      </c>
      <c r="AG31" s="130">
        <v>1250</v>
      </c>
      <c r="AH31" s="762">
        <v>1</v>
      </c>
      <c r="AI31" s="762" t="str">
        <f t="shared" si="43"/>
        <v>●</v>
      </c>
    </row>
    <row r="32" spans="1:35" s="700" customFormat="1" ht="19.5" customHeight="1" x14ac:dyDescent="0.15">
      <c r="A32" s="700" t="str">
        <f t="shared" si="35"/>
        <v>행거 및 핀L=100mmEA</v>
      </c>
      <c r="B32" s="864">
        <f t="shared" si="9"/>
        <v>25</v>
      </c>
      <c r="C32" s="632"/>
      <c r="D32" s="164" t="s">
        <v>451</v>
      </c>
      <c r="E32" s="165"/>
      <c r="F32" s="164" t="s">
        <v>1155</v>
      </c>
      <c r="G32" s="455" t="s">
        <v>352</v>
      </c>
      <c r="H32" s="130"/>
      <c r="I32" s="129">
        <f t="shared" si="36"/>
        <v>250</v>
      </c>
      <c r="J32" s="129">
        <f t="shared" si="37"/>
        <v>543</v>
      </c>
      <c r="K32" s="129">
        <f t="shared" si="38"/>
        <v>250</v>
      </c>
      <c r="L32" s="129" t="str">
        <f t="shared" si="39"/>
        <v>419(2)</v>
      </c>
      <c r="M32" s="130"/>
      <c r="N32" s="130"/>
      <c r="O32" s="130"/>
      <c r="P32" s="130"/>
      <c r="Q32" s="130"/>
      <c r="R32" s="130">
        <f t="shared" si="40"/>
        <v>250</v>
      </c>
      <c r="S32" s="130">
        <f t="shared" si="41"/>
        <v>250</v>
      </c>
      <c r="T32" s="779"/>
      <c r="U32" s="661"/>
      <c r="V32" s="700" t="str">
        <f>VLOOKUP("단가"&amp;$B:$B&amp;"번",일위!Q:Q,1,FALSE)</f>
        <v>단가25번</v>
      </c>
      <c r="X32" s="472" t="e">
        <f>VLOOKUP(A32,내역!I:I,1,FALSE)</f>
        <v>#N/A</v>
      </c>
      <c r="Y32" s="472"/>
      <c r="Z32" s="779">
        <v>543</v>
      </c>
      <c r="AA32" s="130">
        <v>250</v>
      </c>
      <c r="AB32" s="130">
        <v>250</v>
      </c>
      <c r="AC32" s="772">
        <v>1</v>
      </c>
      <c r="AD32" s="773" t="str">
        <f t="shared" si="42"/>
        <v>●</v>
      </c>
      <c r="AE32" s="777" t="s">
        <v>1154</v>
      </c>
      <c r="AF32" s="130">
        <v>250</v>
      </c>
      <c r="AG32" s="130">
        <v>250</v>
      </c>
      <c r="AH32" s="762">
        <v>1</v>
      </c>
      <c r="AI32" s="762" t="str">
        <f t="shared" si="43"/>
        <v>●</v>
      </c>
    </row>
    <row r="33" spans="1:41" s="700" customFormat="1" ht="19.5" customHeight="1" x14ac:dyDescent="0.15">
      <c r="A33" s="700" t="str">
        <f t="shared" si="35"/>
        <v>행거볼트Φ9*1,000EA</v>
      </c>
      <c r="B33" s="864">
        <f t="shared" si="9"/>
        <v>26</v>
      </c>
      <c r="C33" s="632"/>
      <c r="D33" s="164" t="s">
        <v>452</v>
      </c>
      <c r="E33" s="165"/>
      <c r="F33" s="164" t="s">
        <v>378</v>
      </c>
      <c r="G33" s="455" t="s">
        <v>352</v>
      </c>
      <c r="H33" s="130"/>
      <c r="I33" s="129">
        <f t="shared" si="36"/>
        <v>1160</v>
      </c>
      <c r="J33" s="129">
        <f t="shared" si="37"/>
        <v>543</v>
      </c>
      <c r="K33" s="129">
        <f t="shared" si="38"/>
        <v>1160</v>
      </c>
      <c r="L33" s="129" t="str">
        <f t="shared" si="39"/>
        <v>419(2)</v>
      </c>
      <c r="M33" s="130"/>
      <c r="N33" s="130"/>
      <c r="O33" s="130"/>
      <c r="P33" s="130"/>
      <c r="Q33" s="130"/>
      <c r="R33" s="130">
        <f t="shared" si="40"/>
        <v>1160</v>
      </c>
      <c r="S33" s="130">
        <f t="shared" si="41"/>
        <v>1160</v>
      </c>
      <c r="T33" s="779"/>
      <c r="U33" s="661"/>
      <c r="V33" s="700" t="str">
        <f>VLOOKUP("단가"&amp;$B:$B&amp;"번",일위!Q:Q,1,FALSE)</f>
        <v>단가26번</v>
      </c>
      <c r="X33" s="472" t="e">
        <f>VLOOKUP(A33,내역!I:I,1,FALSE)</f>
        <v>#N/A</v>
      </c>
      <c r="Y33" s="472"/>
      <c r="Z33" s="779">
        <v>543</v>
      </c>
      <c r="AA33" s="130">
        <v>1160</v>
      </c>
      <c r="AB33" s="130">
        <v>1160</v>
      </c>
      <c r="AC33" s="772">
        <v>1</v>
      </c>
      <c r="AD33" s="773" t="str">
        <f t="shared" si="42"/>
        <v>●</v>
      </c>
      <c r="AE33" s="777" t="s">
        <v>1154</v>
      </c>
      <c r="AF33" s="130">
        <v>1160</v>
      </c>
      <c r="AG33" s="130">
        <v>1160</v>
      </c>
      <c r="AH33" s="762">
        <v>1</v>
      </c>
      <c r="AI33" s="762" t="str">
        <f t="shared" si="43"/>
        <v>●</v>
      </c>
    </row>
    <row r="34" spans="1:41" s="700" customFormat="1" ht="19.5" customHeight="1" x14ac:dyDescent="0.15">
      <c r="A34" s="700" t="str">
        <f t="shared" ref="A34:A57" si="44">CONCATENATE(D34,F34,G34)</f>
        <v>강화유리(투명)THK=8mm㎡</v>
      </c>
      <c r="B34" s="864">
        <f t="shared" si="9"/>
        <v>27</v>
      </c>
      <c r="C34" s="632"/>
      <c r="D34" s="164" t="s">
        <v>615</v>
      </c>
      <c r="E34" s="165"/>
      <c r="F34" s="164" t="s">
        <v>616</v>
      </c>
      <c r="G34" s="455" t="s">
        <v>350</v>
      </c>
      <c r="H34" s="714">
        <v>24700</v>
      </c>
      <c r="I34" s="129">
        <f t="shared" ref="I34:I50" si="45">IF(AB34=0,"",TRUNC(AB34/AC34,0))</f>
        <v>25000</v>
      </c>
      <c r="J34" s="129">
        <f t="shared" ref="J34:J50" si="46">Z34</f>
        <v>626</v>
      </c>
      <c r="K34" s="129">
        <f t="shared" ref="K34:K50" si="47">IF(AG34=0,"",TRUNC(AG34/AH34,0))</f>
        <v>26300</v>
      </c>
      <c r="L34" s="129" t="str">
        <f t="shared" ref="L34:L50" si="48">AE34</f>
        <v>329(2)</v>
      </c>
      <c r="M34" s="130"/>
      <c r="N34" s="130"/>
      <c r="O34" s="130"/>
      <c r="P34" s="130"/>
      <c r="Q34" s="130"/>
      <c r="R34" s="130">
        <f t="shared" ref="R34:R50" si="49">TRUNC(MIN(H34,I34,K34,M34,N34,O34,P34,Q34))</f>
        <v>24700</v>
      </c>
      <c r="S34" s="130">
        <f t="shared" ref="S34:S50" si="50">TRUNC(R34*$T$4%)</f>
        <v>24700</v>
      </c>
      <c r="T34" s="779"/>
      <c r="U34" s="661"/>
      <c r="V34" s="700" t="str">
        <f>VLOOKUP("단가"&amp;$B:$B&amp;"번",일위!Q:Q,1,FALSE)</f>
        <v>단가27번</v>
      </c>
      <c r="X34" s="472" t="e">
        <f>VLOOKUP(A34,내역!I:I,1,FALSE)</f>
        <v>#N/A</v>
      </c>
      <c r="Y34" s="472"/>
      <c r="Z34" s="779">
        <v>626</v>
      </c>
      <c r="AA34" s="771">
        <v>25000</v>
      </c>
      <c r="AB34" s="771">
        <v>25000</v>
      </c>
      <c r="AC34" s="772">
        <v>1</v>
      </c>
      <c r="AD34" s="773" t="str">
        <f t="shared" ref="AD34:AD50" si="51">IF(AA34&gt;AB34,"▼",IF(AA34=AB34,"●","▲"))</f>
        <v>●</v>
      </c>
      <c r="AE34" s="777" t="s">
        <v>1156</v>
      </c>
      <c r="AF34" s="771">
        <v>26300</v>
      </c>
      <c r="AG34" s="771">
        <v>26300</v>
      </c>
      <c r="AH34" s="762">
        <v>1</v>
      </c>
      <c r="AI34" s="762" t="str">
        <f t="shared" si="43"/>
        <v>●</v>
      </c>
    </row>
    <row r="35" spans="1:41" s="700" customFormat="1" ht="19.5" customHeight="1" x14ac:dyDescent="0.15">
      <c r="A35" s="700" t="str">
        <f t="shared" si="44"/>
        <v>수성페인트KSM6010 2종1급ℓ</v>
      </c>
      <c r="B35" s="864">
        <f t="shared" si="9"/>
        <v>28</v>
      </c>
      <c r="C35" s="632"/>
      <c r="D35" s="164" t="s">
        <v>523</v>
      </c>
      <c r="E35" s="165"/>
      <c r="F35" s="164" t="s">
        <v>524</v>
      </c>
      <c r="G35" s="455" t="s">
        <v>360</v>
      </c>
      <c r="H35" s="714">
        <v>2470</v>
      </c>
      <c r="I35" s="129">
        <f t="shared" si="45"/>
        <v>3575</v>
      </c>
      <c r="J35" s="129">
        <f t="shared" si="46"/>
        <v>628</v>
      </c>
      <c r="K35" s="129">
        <f t="shared" si="47"/>
        <v>5705</v>
      </c>
      <c r="L35" s="129" t="str">
        <f t="shared" si="48"/>
        <v>255(2)</v>
      </c>
      <c r="M35" s="130"/>
      <c r="N35" s="130"/>
      <c r="O35" s="130"/>
      <c r="P35" s="130"/>
      <c r="Q35" s="130"/>
      <c r="R35" s="130">
        <f t="shared" si="49"/>
        <v>2470</v>
      </c>
      <c r="S35" s="130">
        <f t="shared" si="50"/>
        <v>2470</v>
      </c>
      <c r="T35" s="779"/>
      <c r="U35" s="661"/>
      <c r="V35" s="700" t="str">
        <f>VLOOKUP("단가"&amp;$B:$B&amp;"번",일위!Q:Q,1,FALSE)</f>
        <v>단가28번</v>
      </c>
      <c r="X35" s="472" t="e">
        <f>VLOOKUP(A35,내역!I:I,1,FALSE)</f>
        <v>#N/A</v>
      </c>
      <c r="Y35" s="472"/>
      <c r="Z35" s="779">
        <v>628</v>
      </c>
      <c r="AA35" s="771">
        <v>14300</v>
      </c>
      <c r="AB35" s="771">
        <v>14300</v>
      </c>
      <c r="AC35" s="772">
        <v>4</v>
      </c>
      <c r="AD35" s="773" t="str">
        <f t="shared" si="51"/>
        <v>●</v>
      </c>
      <c r="AE35" s="777" t="s">
        <v>1157</v>
      </c>
      <c r="AF35" s="771">
        <v>102700</v>
      </c>
      <c r="AG35" s="771">
        <v>102700</v>
      </c>
      <c r="AH35" s="762">
        <v>18</v>
      </c>
      <c r="AI35" s="762" t="str">
        <f t="shared" si="43"/>
        <v>●</v>
      </c>
    </row>
    <row r="36" spans="1:41" s="700" customFormat="1" ht="19.5" customHeight="1" x14ac:dyDescent="0.15">
      <c r="A36" s="700" t="str">
        <f t="shared" si="44"/>
        <v>녹막이페인트KSM6030 1종, 2류ℓ</v>
      </c>
      <c r="B36" s="864">
        <f t="shared" si="9"/>
        <v>29</v>
      </c>
      <c r="C36" s="632"/>
      <c r="D36" s="164" t="s">
        <v>359</v>
      </c>
      <c r="E36" s="165"/>
      <c r="F36" s="164" t="s">
        <v>453</v>
      </c>
      <c r="G36" s="455" t="s">
        <v>360</v>
      </c>
      <c r="H36" s="714">
        <v>6010</v>
      </c>
      <c r="I36" s="129">
        <f t="shared" si="45"/>
        <v>9250</v>
      </c>
      <c r="J36" s="129">
        <f t="shared" si="46"/>
        <v>631</v>
      </c>
      <c r="K36" s="129">
        <f t="shared" si="47"/>
        <v>10811</v>
      </c>
      <c r="L36" s="129" t="str">
        <f t="shared" si="48"/>
        <v>256(2)</v>
      </c>
      <c r="M36" s="130"/>
      <c r="N36" s="130"/>
      <c r="O36" s="130"/>
      <c r="P36" s="130"/>
      <c r="Q36" s="130"/>
      <c r="R36" s="130">
        <f t="shared" si="49"/>
        <v>6010</v>
      </c>
      <c r="S36" s="130">
        <f t="shared" si="50"/>
        <v>6010</v>
      </c>
      <c r="T36" s="779"/>
      <c r="U36" s="661"/>
      <c r="V36" s="700" t="str">
        <f>VLOOKUP("단가"&amp;$B:$B&amp;"번",일위!Q:Q,1,FALSE)</f>
        <v>단가29번</v>
      </c>
      <c r="X36" s="472" t="e">
        <f>VLOOKUP(A36,내역!I:I,1,FALSE)</f>
        <v>#N/A</v>
      </c>
      <c r="Y36" s="472"/>
      <c r="Z36" s="779">
        <v>631</v>
      </c>
      <c r="AA36" s="820">
        <v>37000</v>
      </c>
      <c r="AB36" s="820">
        <v>37000</v>
      </c>
      <c r="AC36" s="772">
        <v>4</v>
      </c>
      <c r="AD36" s="773" t="str">
        <f t="shared" si="51"/>
        <v>●</v>
      </c>
      <c r="AE36" s="777" t="s">
        <v>1158</v>
      </c>
      <c r="AF36" s="771">
        <v>194600</v>
      </c>
      <c r="AG36" s="771">
        <v>194600</v>
      </c>
      <c r="AH36" s="762">
        <v>18</v>
      </c>
      <c r="AI36" s="762" t="str">
        <f t="shared" si="43"/>
        <v>●</v>
      </c>
    </row>
    <row r="37" spans="1:41" s="700" customFormat="1" ht="19.5" customHeight="1" x14ac:dyDescent="0.15">
      <c r="A37" s="700" t="str">
        <f t="shared" si="44"/>
        <v>위시프라이머ZQL011ℓ</v>
      </c>
      <c r="B37" s="864">
        <f t="shared" si="9"/>
        <v>30</v>
      </c>
      <c r="C37" s="632"/>
      <c r="D37" s="164" t="s">
        <v>456</v>
      </c>
      <c r="E37" s="165"/>
      <c r="F37" s="164" t="s">
        <v>457</v>
      </c>
      <c r="G37" s="455" t="s">
        <v>360</v>
      </c>
      <c r="H37" s="130"/>
      <c r="I37" s="129">
        <f t="shared" si="45"/>
        <v>6575</v>
      </c>
      <c r="J37" s="129">
        <f t="shared" si="46"/>
        <v>631</v>
      </c>
      <c r="K37" s="129">
        <f t="shared" si="47"/>
        <v>6155</v>
      </c>
      <c r="L37" s="129" t="str">
        <f t="shared" si="48"/>
        <v>263(2)</v>
      </c>
      <c r="M37" s="130"/>
      <c r="N37" s="130"/>
      <c r="O37" s="130"/>
      <c r="P37" s="130"/>
      <c r="Q37" s="130"/>
      <c r="R37" s="130">
        <f t="shared" si="49"/>
        <v>6155</v>
      </c>
      <c r="S37" s="130">
        <f t="shared" si="50"/>
        <v>6155</v>
      </c>
      <c r="T37" s="779"/>
      <c r="U37" s="661"/>
      <c r="V37" s="700" t="str">
        <f>VLOOKUP("단가"&amp;$B:$B&amp;"번",일위!Q:Q,1,FALSE)</f>
        <v>단가30번</v>
      </c>
      <c r="X37" s="472" t="e">
        <f>VLOOKUP(A37,내역!I:I,1,FALSE)</f>
        <v>#N/A</v>
      </c>
      <c r="Y37" s="472"/>
      <c r="Z37" s="779">
        <v>631</v>
      </c>
      <c r="AA37" s="771">
        <v>26300</v>
      </c>
      <c r="AB37" s="771">
        <v>26300</v>
      </c>
      <c r="AC37" s="772">
        <v>4</v>
      </c>
      <c r="AD37" s="773" t="str">
        <f t="shared" si="51"/>
        <v>●</v>
      </c>
      <c r="AE37" s="777" t="s">
        <v>1159</v>
      </c>
      <c r="AF37" s="771">
        <v>103600</v>
      </c>
      <c r="AG37" s="771">
        <v>110800</v>
      </c>
      <c r="AH37" s="762">
        <v>18</v>
      </c>
      <c r="AI37" s="762" t="str">
        <f t="shared" si="43"/>
        <v>▲</v>
      </c>
    </row>
    <row r="38" spans="1:41" s="700" customFormat="1" ht="19.5" customHeight="1" x14ac:dyDescent="0.15">
      <c r="A38" s="700" t="str">
        <f t="shared" si="44"/>
        <v>락카프라이머LAA049ℓ</v>
      </c>
      <c r="B38" s="864">
        <f t="shared" si="9"/>
        <v>31</v>
      </c>
      <c r="C38" s="632"/>
      <c r="D38" s="164" t="s">
        <v>454</v>
      </c>
      <c r="E38" s="165"/>
      <c r="F38" s="164" t="s">
        <v>455</v>
      </c>
      <c r="G38" s="455" t="s">
        <v>360</v>
      </c>
      <c r="H38" s="130"/>
      <c r="I38" s="129">
        <f t="shared" si="45"/>
        <v>6025</v>
      </c>
      <c r="J38" s="129">
        <f t="shared" si="46"/>
        <v>631</v>
      </c>
      <c r="K38" s="129" t="str">
        <f t="shared" si="47"/>
        <v/>
      </c>
      <c r="L38" s="129">
        <f t="shared" si="48"/>
        <v>0</v>
      </c>
      <c r="M38" s="130"/>
      <c r="N38" s="130"/>
      <c r="O38" s="130"/>
      <c r="P38" s="130"/>
      <c r="Q38" s="130"/>
      <c r="R38" s="130">
        <f t="shared" si="49"/>
        <v>6025</v>
      </c>
      <c r="S38" s="130">
        <f t="shared" si="50"/>
        <v>6025</v>
      </c>
      <c r="T38" s="779"/>
      <c r="U38" s="661"/>
      <c r="V38" s="700" t="str">
        <f>VLOOKUP("단가"&amp;$B:$B&amp;"번",일위!Q:Q,1,FALSE)</f>
        <v>단가31번</v>
      </c>
      <c r="X38" s="472" t="e">
        <f>VLOOKUP(A38,내역!I:I,1,FALSE)</f>
        <v>#N/A</v>
      </c>
      <c r="Y38" s="472"/>
      <c r="Z38" s="779">
        <v>631</v>
      </c>
      <c r="AA38" s="771">
        <v>24100</v>
      </c>
      <c r="AB38" s="771">
        <v>24100</v>
      </c>
      <c r="AC38" s="772">
        <v>4</v>
      </c>
      <c r="AD38" s="773" t="str">
        <f t="shared" si="51"/>
        <v>●</v>
      </c>
      <c r="AE38" s="777">
        <v>0</v>
      </c>
      <c r="AF38" s="771"/>
      <c r="AG38" s="771"/>
      <c r="AH38" s="762"/>
      <c r="AI38" s="762"/>
      <c r="AO38" s="782"/>
    </row>
    <row r="39" spans="1:41" s="700" customFormat="1" ht="19.5" customHeight="1" x14ac:dyDescent="0.15">
      <c r="A39" s="700" t="str">
        <f t="shared" si="44"/>
        <v>신너KSM6060-1ℓ</v>
      </c>
      <c r="B39" s="864">
        <f t="shared" si="9"/>
        <v>32</v>
      </c>
      <c r="C39" s="632"/>
      <c r="D39" s="164" t="s">
        <v>368</v>
      </c>
      <c r="E39" s="165"/>
      <c r="F39" s="164" t="s">
        <v>458</v>
      </c>
      <c r="G39" s="455" t="s">
        <v>360</v>
      </c>
      <c r="H39" s="714">
        <v>1840</v>
      </c>
      <c r="I39" s="129">
        <f t="shared" si="45"/>
        <v>2711</v>
      </c>
      <c r="J39" s="129">
        <f t="shared" si="46"/>
        <v>632</v>
      </c>
      <c r="K39" s="129">
        <f t="shared" si="47"/>
        <v>3494</v>
      </c>
      <c r="L39" s="129" t="str">
        <f t="shared" si="48"/>
        <v>255(2)</v>
      </c>
      <c r="M39" s="130"/>
      <c r="N39" s="130"/>
      <c r="O39" s="130"/>
      <c r="P39" s="130"/>
      <c r="Q39" s="130"/>
      <c r="R39" s="130">
        <f t="shared" si="49"/>
        <v>1840</v>
      </c>
      <c r="S39" s="130">
        <f t="shared" si="50"/>
        <v>1840</v>
      </c>
      <c r="T39" s="779"/>
      <c r="U39" s="661"/>
      <c r="V39" s="700" t="str">
        <f>VLOOKUP("단가"&amp;$B:$B&amp;"번",일위!Q:Q,1,FALSE)</f>
        <v>단가32번</v>
      </c>
      <c r="X39" s="472" t="e">
        <f>VLOOKUP(A39,내역!I:I,1,FALSE)</f>
        <v>#N/A</v>
      </c>
      <c r="Y39" s="472"/>
      <c r="Z39" s="779">
        <v>632</v>
      </c>
      <c r="AA39" s="820">
        <v>48800</v>
      </c>
      <c r="AB39" s="820">
        <v>48800</v>
      </c>
      <c r="AC39" s="762">
        <v>18</v>
      </c>
      <c r="AD39" s="773" t="str">
        <f t="shared" si="51"/>
        <v>●</v>
      </c>
      <c r="AE39" s="777" t="s">
        <v>1157</v>
      </c>
      <c r="AF39" s="820">
        <v>62900</v>
      </c>
      <c r="AG39" s="820">
        <v>62900</v>
      </c>
      <c r="AH39" s="762">
        <v>18</v>
      </c>
      <c r="AI39" s="762" t="str">
        <f t="shared" ref="AI39:AI61" si="52">IF(AF39&gt;AG39,"▼",IF(AF39=AG39,"●","▲"))</f>
        <v>●</v>
      </c>
    </row>
    <row r="40" spans="1:41" s="700" customFormat="1" ht="19.5" customHeight="1" x14ac:dyDescent="0.15">
      <c r="A40" s="700" t="str">
        <f>CONCATENATE(D40,F40,G40)</f>
        <v>신너KSM6060-2ℓ</v>
      </c>
      <c r="B40" s="864">
        <f t="shared" si="9"/>
        <v>33</v>
      </c>
      <c r="C40" s="632"/>
      <c r="D40" s="164" t="s">
        <v>368</v>
      </c>
      <c r="E40" s="165"/>
      <c r="F40" s="164" t="s">
        <v>369</v>
      </c>
      <c r="G40" s="455" t="s">
        <v>360</v>
      </c>
      <c r="H40" s="714">
        <v>1780</v>
      </c>
      <c r="I40" s="129">
        <f t="shared" si="45"/>
        <v>2711</v>
      </c>
      <c r="J40" s="129">
        <f t="shared" si="46"/>
        <v>632</v>
      </c>
      <c r="K40" s="129">
        <f t="shared" si="47"/>
        <v>3583</v>
      </c>
      <c r="L40" s="129" t="str">
        <f t="shared" si="48"/>
        <v>255(2)</v>
      </c>
      <c r="M40" s="130"/>
      <c r="N40" s="130"/>
      <c r="O40" s="130"/>
      <c r="P40" s="130"/>
      <c r="Q40" s="130"/>
      <c r="R40" s="130">
        <f t="shared" si="49"/>
        <v>1780</v>
      </c>
      <c r="S40" s="130">
        <f t="shared" si="50"/>
        <v>1780</v>
      </c>
      <c r="T40" s="779"/>
      <c r="U40" s="661"/>
      <c r="V40" s="700" t="str">
        <f>VLOOKUP("단가"&amp;$B:$B&amp;"번",일위!Q:Q,1,FALSE)</f>
        <v>단가33번</v>
      </c>
      <c r="X40" s="472" t="e">
        <f>VLOOKUP(A40,내역!I:I,1,FALSE)</f>
        <v>#N/A</v>
      </c>
      <c r="Y40" s="472"/>
      <c r="Z40" s="779">
        <v>632</v>
      </c>
      <c r="AA40" s="771">
        <v>48800</v>
      </c>
      <c r="AB40" s="771">
        <v>48800</v>
      </c>
      <c r="AC40" s="772">
        <v>18</v>
      </c>
      <c r="AD40" s="773" t="str">
        <f t="shared" si="51"/>
        <v>●</v>
      </c>
      <c r="AE40" s="777" t="s">
        <v>1157</v>
      </c>
      <c r="AF40" s="771">
        <v>64500</v>
      </c>
      <c r="AG40" s="771">
        <v>64500</v>
      </c>
      <c r="AH40" s="762">
        <v>18</v>
      </c>
      <c r="AI40" s="762" t="str">
        <f t="shared" si="52"/>
        <v>●</v>
      </c>
    </row>
    <row r="41" spans="1:41" s="700" customFormat="1" ht="19.5" customHeight="1" x14ac:dyDescent="0.15">
      <c r="A41" s="700" t="str">
        <f>CONCATENATE(D41,F41,G41)</f>
        <v>신너KSM6060-3ℓ</v>
      </c>
      <c r="B41" s="864">
        <f t="shared" si="9"/>
        <v>34</v>
      </c>
      <c r="C41" s="632"/>
      <c r="D41" s="164" t="s">
        <v>368</v>
      </c>
      <c r="E41" s="165"/>
      <c r="F41" s="164" t="s">
        <v>459</v>
      </c>
      <c r="G41" s="455" t="s">
        <v>360</v>
      </c>
      <c r="H41" s="714">
        <v>1780</v>
      </c>
      <c r="I41" s="129">
        <f t="shared" si="45"/>
        <v>2577</v>
      </c>
      <c r="J41" s="129">
        <f t="shared" si="46"/>
        <v>632</v>
      </c>
      <c r="K41" s="129">
        <f t="shared" si="47"/>
        <v>3615</v>
      </c>
      <c r="L41" s="129" t="str">
        <f t="shared" si="48"/>
        <v>255(2)</v>
      </c>
      <c r="M41" s="130"/>
      <c r="N41" s="130"/>
      <c r="O41" s="130"/>
      <c r="P41" s="130"/>
      <c r="Q41" s="130"/>
      <c r="R41" s="130">
        <f t="shared" si="49"/>
        <v>1780</v>
      </c>
      <c r="S41" s="130">
        <f t="shared" si="50"/>
        <v>1780</v>
      </c>
      <c r="T41" s="779"/>
      <c r="U41" s="661"/>
      <c r="V41" s="700" t="str">
        <f>VLOOKUP("단가"&amp;$B:$B&amp;"번",일위!Q:Q,1,FALSE)</f>
        <v>단가34번</v>
      </c>
      <c r="X41" s="472" t="e">
        <f>VLOOKUP(A41,내역!I:I,1,FALSE)</f>
        <v>#N/A</v>
      </c>
      <c r="Y41" s="472"/>
      <c r="Z41" s="779">
        <v>632</v>
      </c>
      <c r="AA41" s="820">
        <v>46400</v>
      </c>
      <c r="AB41" s="820">
        <v>46400</v>
      </c>
      <c r="AC41" s="762">
        <v>18</v>
      </c>
      <c r="AD41" s="773" t="str">
        <f t="shared" si="51"/>
        <v>●</v>
      </c>
      <c r="AE41" s="777" t="s">
        <v>1157</v>
      </c>
      <c r="AF41" s="820">
        <v>65070</v>
      </c>
      <c r="AG41" s="820">
        <v>65070</v>
      </c>
      <c r="AH41" s="762">
        <v>18</v>
      </c>
      <c r="AI41" s="762" t="str">
        <f t="shared" si="52"/>
        <v>●</v>
      </c>
    </row>
    <row r="42" spans="1:41" s="700" customFormat="1" ht="19.5" customHeight="1" x14ac:dyDescent="0.15">
      <c r="A42" s="700" t="str">
        <f t="shared" si="44"/>
        <v>칼라락카CL440-1000ℓ</v>
      </c>
      <c r="B42" s="864">
        <f t="shared" si="9"/>
        <v>35</v>
      </c>
      <c r="C42" s="632"/>
      <c r="D42" s="164" t="s">
        <v>460</v>
      </c>
      <c r="E42" s="165"/>
      <c r="F42" s="164" t="s">
        <v>461</v>
      </c>
      <c r="G42" s="455" t="s">
        <v>360</v>
      </c>
      <c r="H42" s="130"/>
      <c r="I42" s="129">
        <f t="shared" si="45"/>
        <v>6750</v>
      </c>
      <c r="J42" s="129">
        <f t="shared" si="46"/>
        <v>632</v>
      </c>
      <c r="K42" s="129">
        <f t="shared" si="47"/>
        <v>6738</v>
      </c>
      <c r="L42" s="129" t="str">
        <f t="shared" si="48"/>
        <v>261(2)</v>
      </c>
      <c r="M42" s="130"/>
      <c r="N42" s="130"/>
      <c r="O42" s="130"/>
      <c r="P42" s="130"/>
      <c r="Q42" s="130"/>
      <c r="R42" s="130">
        <f t="shared" si="49"/>
        <v>6738</v>
      </c>
      <c r="S42" s="130">
        <f t="shared" si="50"/>
        <v>6738</v>
      </c>
      <c r="T42" s="779"/>
      <c r="U42" s="661"/>
      <c r="V42" s="700" t="str">
        <f>VLOOKUP("단가"&amp;$B:$B&amp;"번",일위!Q:Q,1,FALSE)</f>
        <v>단가35번</v>
      </c>
      <c r="X42" s="472" t="e">
        <f>VLOOKUP(A42,내역!I:I,1,FALSE)</f>
        <v>#N/A</v>
      </c>
      <c r="Y42" s="472"/>
      <c r="Z42" s="779">
        <v>632</v>
      </c>
      <c r="AA42" s="771">
        <v>27000</v>
      </c>
      <c r="AB42" s="771">
        <v>27000</v>
      </c>
      <c r="AC42" s="772">
        <v>4</v>
      </c>
      <c r="AD42" s="773" t="str">
        <f t="shared" si="51"/>
        <v>●</v>
      </c>
      <c r="AE42" s="777" t="s">
        <v>1050</v>
      </c>
      <c r="AF42" s="771">
        <v>121300</v>
      </c>
      <c r="AG42" s="771">
        <v>121300</v>
      </c>
      <c r="AH42" s="762">
        <v>18</v>
      </c>
      <c r="AI42" s="762" t="str">
        <f t="shared" si="52"/>
        <v>●</v>
      </c>
    </row>
    <row r="43" spans="1:41" s="700" customFormat="1" ht="19.5" customHeight="1" x14ac:dyDescent="0.15">
      <c r="A43" s="700" t="str">
        <f t="shared" si="44"/>
        <v>투명락카벽산ℓ</v>
      </c>
      <c r="B43" s="864">
        <f t="shared" si="9"/>
        <v>36</v>
      </c>
      <c r="C43" s="632"/>
      <c r="D43" s="164" t="s">
        <v>600</v>
      </c>
      <c r="E43" s="165"/>
      <c r="F43" s="164" t="s">
        <v>601</v>
      </c>
      <c r="G43" s="455" t="s">
        <v>360</v>
      </c>
      <c r="H43" s="130"/>
      <c r="I43" s="129">
        <f t="shared" si="45"/>
        <v>3644</v>
      </c>
      <c r="J43" s="129">
        <f t="shared" si="46"/>
        <v>632</v>
      </c>
      <c r="K43" s="129">
        <f t="shared" si="47"/>
        <v>3644</v>
      </c>
      <c r="L43" s="129" t="str">
        <f t="shared" si="48"/>
        <v>261(2)</v>
      </c>
      <c r="M43" s="130"/>
      <c r="N43" s="130"/>
      <c r="O43" s="130"/>
      <c r="P43" s="130"/>
      <c r="Q43" s="130"/>
      <c r="R43" s="130">
        <f t="shared" si="49"/>
        <v>3644</v>
      </c>
      <c r="S43" s="130">
        <f t="shared" si="50"/>
        <v>3644</v>
      </c>
      <c r="T43" s="779"/>
      <c r="U43" s="661"/>
      <c r="V43" s="700" t="str">
        <f>VLOOKUP("단가"&amp;$B:$B&amp;"번",일위!Q:Q,1,FALSE)</f>
        <v>단가36번</v>
      </c>
      <c r="X43" s="472" t="e">
        <f>VLOOKUP(A43,내역!I:I,1,FALSE)</f>
        <v>#N/A</v>
      </c>
      <c r="Y43" s="472"/>
      <c r="Z43" s="779">
        <v>632</v>
      </c>
      <c r="AA43" s="771">
        <v>65600</v>
      </c>
      <c r="AB43" s="771">
        <v>65600</v>
      </c>
      <c r="AC43" s="772">
        <v>18</v>
      </c>
      <c r="AD43" s="773" t="str">
        <f t="shared" si="51"/>
        <v>●</v>
      </c>
      <c r="AE43" s="777" t="s">
        <v>1050</v>
      </c>
      <c r="AF43" s="771">
        <v>65600</v>
      </c>
      <c r="AG43" s="771">
        <v>65600</v>
      </c>
      <c r="AH43" s="762">
        <v>18</v>
      </c>
      <c r="AI43" s="762" t="str">
        <f t="shared" si="52"/>
        <v>●</v>
      </c>
    </row>
    <row r="44" spans="1:41" s="700" customFormat="1" ht="19.5" customHeight="1" x14ac:dyDescent="0.15">
      <c r="A44" s="700" t="str">
        <f t="shared" si="44"/>
        <v>퍼티뽀리퍼티Kg</v>
      </c>
      <c r="B44" s="864">
        <f t="shared" si="9"/>
        <v>37</v>
      </c>
      <c r="C44" s="632"/>
      <c r="D44" s="164" t="s">
        <v>463</v>
      </c>
      <c r="E44" s="165"/>
      <c r="F44" s="164" t="s">
        <v>466</v>
      </c>
      <c r="G44" s="455" t="s">
        <v>357</v>
      </c>
      <c r="H44" s="130"/>
      <c r="I44" s="129">
        <f t="shared" si="45"/>
        <v>6750</v>
      </c>
      <c r="J44" s="129">
        <f t="shared" si="46"/>
        <v>636</v>
      </c>
      <c r="K44" s="129">
        <f t="shared" si="47"/>
        <v>6750</v>
      </c>
      <c r="L44" s="129" t="str">
        <f t="shared" si="48"/>
        <v>261(2)</v>
      </c>
      <c r="M44" s="130"/>
      <c r="N44" s="130"/>
      <c r="O44" s="130"/>
      <c r="P44" s="130"/>
      <c r="Q44" s="130"/>
      <c r="R44" s="130">
        <f t="shared" si="49"/>
        <v>6750</v>
      </c>
      <c r="S44" s="130">
        <f t="shared" si="50"/>
        <v>6750</v>
      </c>
      <c r="T44" s="779"/>
      <c r="U44" s="661"/>
      <c r="V44" s="700" t="str">
        <f>VLOOKUP("단가"&amp;$B:$B&amp;"번",일위!Q:Q,1,FALSE)</f>
        <v>단가37번</v>
      </c>
      <c r="X44" s="472" t="e">
        <f>VLOOKUP(A44,내역!I:I,1,FALSE)</f>
        <v>#N/A</v>
      </c>
      <c r="Y44" s="472"/>
      <c r="Z44" s="779">
        <v>636</v>
      </c>
      <c r="AA44" s="771">
        <v>27000</v>
      </c>
      <c r="AB44" s="771">
        <v>27000</v>
      </c>
      <c r="AC44" s="772">
        <v>4</v>
      </c>
      <c r="AD44" s="773" t="str">
        <f t="shared" si="51"/>
        <v>●</v>
      </c>
      <c r="AE44" s="777" t="s">
        <v>1050</v>
      </c>
      <c r="AF44" s="771">
        <v>27000</v>
      </c>
      <c r="AG44" s="771">
        <v>27000</v>
      </c>
      <c r="AH44" s="762">
        <v>4</v>
      </c>
      <c r="AI44" s="762" t="str">
        <f t="shared" si="52"/>
        <v>●</v>
      </c>
    </row>
    <row r="45" spans="1:41" s="700" customFormat="1" ht="19.5" customHeight="1" x14ac:dyDescent="0.15">
      <c r="A45" s="700" t="str">
        <f t="shared" si="44"/>
        <v>퍼티MC-319Kg</v>
      </c>
      <c r="B45" s="864">
        <f t="shared" si="9"/>
        <v>38</v>
      </c>
      <c r="C45" s="632"/>
      <c r="D45" s="164" t="s">
        <v>463</v>
      </c>
      <c r="E45" s="165"/>
      <c r="F45" s="164" t="s">
        <v>465</v>
      </c>
      <c r="G45" s="455" t="s">
        <v>357</v>
      </c>
      <c r="H45" s="130">
        <v>3090</v>
      </c>
      <c r="I45" s="129">
        <f t="shared" si="45"/>
        <v>3833</v>
      </c>
      <c r="J45" s="129">
        <f t="shared" si="46"/>
        <v>636</v>
      </c>
      <c r="K45" s="129" t="str">
        <f t="shared" si="47"/>
        <v/>
      </c>
      <c r="L45" s="129">
        <f t="shared" si="48"/>
        <v>0</v>
      </c>
      <c r="M45" s="130"/>
      <c r="N45" s="130"/>
      <c r="O45" s="130"/>
      <c r="P45" s="130"/>
      <c r="Q45" s="130"/>
      <c r="R45" s="130">
        <f t="shared" si="49"/>
        <v>3090</v>
      </c>
      <c r="S45" s="130">
        <f t="shared" si="50"/>
        <v>3090</v>
      </c>
      <c r="T45" s="779"/>
      <c r="U45" s="661"/>
      <c r="V45" s="700" t="str">
        <f>VLOOKUP("단가"&amp;$B:$B&amp;"번",일위!Q:Q,1,FALSE)</f>
        <v>단가38번</v>
      </c>
      <c r="X45" s="472" t="e">
        <f>VLOOKUP(A45,내역!I:I,1,FALSE)</f>
        <v>#N/A</v>
      </c>
      <c r="Y45" s="472"/>
      <c r="Z45" s="779">
        <v>636</v>
      </c>
      <c r="AA45" s="771">
        <v>69000</v>
      </c>
      <c r="AB45" s="771">
        <v>69000</v>
      </c>
      <c r="AC45" s="772">
        <v>18</v>
      </c>
      <c r="AD45" s="773" t="str">
        <f t="shared" si="51"/>
        <v>●</v>
      </c>
      <c r="AE45" s="780"/>
      <c r="AF45" s="771"/>
      <c r="AG45" s="771"/>
      <c r="AH45" s="762"/>
      <c r="AI45" s="762"/>
    </row>
    <row r="46" spans="1:41" s="700" customFormat="1" ht="19.5" customHeight="1" x14ac:dyDescent="0.15">
      <c r="A46" s="700" t="str">
        <f t="shared" si="44"/>
        <v>퍼티핸디택스(인테리어전용)Kg</v>
      </c>
      <c r="B46" s="864">
        <f t="shared" si="9"/>
        <v>39</v>
      </c>
      <c r="C46" s="632"/>
      <c r="D46" s="164" t="s">
        <v>463</v>
      </c>
      <c r="E46" s="165"/>
      <c r="F46" s="164" t="s">
        <v>464</v>
      </c>
      <c r="G46" s="455" t="s">
        <v>357</v>
      </c>
      <c r="H46" s="130"/>
      <c r="I46" s="129">
        <f t="shared" si="45"/>
        <v>1150</v>
      </c>
      <c r="J46" s="129">
        <f t="shared" si="46"/>
        <v>636</v>
      </c>
      <c r="K46" s="129" t="str">
        <f t="shared" si="47"/>
        <v/>
      </c>
      <c r="L46" s="129">
        <f t="shared" si="48"/>
        <v>0</v>
      </c>
      <c r="M46" s="130"/>
      <c r="N46" s="130"/>
      <c r="O46" s="130"/>
      <c r="P46" s="130"/>
      <c r="Q46" s="130"/>
      <c r="R46" s="130">
        <f t="shared" si="49"/>
        <v>1150</v>
      </c>
      <c r="S46" s="130">
        <f t="shared" si="50"/>
        <v>1150</v>
      </c>
      <c r="T46" s="779"/>
      <c r="U46" s="661"/>
      <c r="V46" s="700" t="str">
        <f>VLOOKUP("단가"&amp;$B:$B&amp;"번",일위!Q:Q,1,FALSE)</f>
        <v>단가39번</v>
      </c>
      <c r="X46" s="472" t="e">
        <f>VLOOKUP(A46,내역!I:I,1,FALSE)</f>
        <v>#N/A</v>
      </c>
      <c r="Y46" s="472"/>
      <c r="Z46" s="779">
        <v>636</v>
      </c>
      <c r="AA46" s="771">
        <v>1150</v>
      </c>
      <c r="AB46" s="771">
        <v>1150</v>
      </c>
      <c r="AC46" s="772">
        <v>1</v>
      </c>
      <c r="AD46" s="773" t="str">
        <f t="shared" si="51"/>
        <v>●</v>
      </c>
      <c r="AE46" s="780"/>
      <c r="AF46" s="771"/>
      <c r="AG46" s="771"/>
      <c r="AH46" s="762"/>
      <c r="AI46" s="762"/>
    </row>
    <row r="47" spans="1:41" s="700" customFormat="1" ht="19.5" customHeight="1" x14ac:dyDescent="0.15">
      <c r="A47" s="700" t="str">
        <f t="shared" si="44"/>
        <v>휠러외부용Kg</v>
      </c>
      <c r="B47" s="864">
        <f t="shared" si="9"/>
        <v>40</v>
      </c>
      <c r="C47" s="632"/>
      <c r="D47" s="164" t="s">
        <v>467</v>
      </c>
      <c r="E47" s="165"/>
      <c r="F47" s="164" t="s">
        <v>468</v>
      </c>
      <c r="G47" s="455" t="s">
        <v>357</v>
      </c>
      <c r="H47" s="130"/>
      <c r="I47" s="129">
        <f t="shared" si="45"/>
        <v>1650</v>
      </c>
      <c r="J47" s="129">
        <f t="shared" si="46"/>
        <v>636</v>
      </c>
      <c r="K47" s="129" t="str">
        <f t="shared" si="47"/>
        <v/>
      </c>
      <c r="L47" s="129">
        <f t="shared" si="48"/>
        <v>0</v>
      </c>
      <c r="M47" s="130"/>
      <c r="N47" s="130"/>
      <c r="O47" s="130"/>
      <c r="P47" s="130"/>
      <c r="Q47" s="130"/>
      <c r="R47" s="130">
        <f t="shared" si="49"/>
        <v>1650</v>
      </c>
      <c r="S47" s="130">
        <f t="shared" si="50"/>
        <v>1650</v>
      </c>
      <c r="T47" s="779"/>
      <c r="U47" s="661"/>
      <c r="V47" s="700" t="str">
        <f>VLOOKUP("단가"&amp;$B:$B&amp;"번",일위!Q:Q,1,FALSE)</f>
        <v>단가40번</v>
      </c>
      <c r="X47" s="472" t="e">
        <f>VLOOKUP(A47,내역!I:I,1,FALSE)</f>
        <v>#N/A</v>
      </c>
      <c r="Y47" s="472"/>
      <c r="Z47" s="779">
        <v>636</v>
      </c>
      <c r="AA47" s="771">
        <v>1650</v>
      </c>
      <c r="AB47" s="771">
        <v>1650</v>
      </c>
      <c r="AC47" s="772">
        <v>1</v>
      </c>
      <c r="AD47" s="773" t="str">
        <f t="shared" si="51"/>
        <v>●</v>
      </c>
      <c r="AE47" s="780"/>
      <c r="AF47" s="771"/>
      <c r="AG47" s="771"/>
      <c r="AH47" s="762"/>
      <c r="AI47" s="762"/>
    </row>
    <row r="48" spans="1:41" s="700" customFormat="1" ht="19.5" customHeight="1" x14ac:dyDescent="0.15">
      <c r="A48" s="700" t="str">
        <f t="shared" si="44"/>
        <v>오일샤페사U711W4001ℓ</v>
      </c>
      <c r="B48" s="864">
        <f t="shared" si="9"/>
        <v>41</v>
      </c>
      <c r="C48" s="632"/>
      <c r="D48" s="164" t="s">
        <v>462</v>
      </c>
      <c r="E48" s="165"/>
      <c r="F48" s="164" t="s">
        <v>376</v>
      </c>
      <c r="G48" s="455" t="s">
        <v>360</v>
      </c>
      <c r="H48" s="130"/>
      <c r="I48" s="129">
        <f t="shared" si="45"/>
        <v>5288</v>
      </c>
      <c r="J48" s="129">
        <f t="shared" si="46"/>
        <v>640</v>
      </c>
      <c r="K48" s="129" t="str">
        <f t="shared" si="47"/>
        <v/>
      </c>
      <c r="L48" s="129">
        <f t="shared" si="48"/>
        <v>0</v>
      </c>
      <c r="M48" s="130"/>
      <c r="N48" s="130"/>
      <c r="O48" s="130"/>
      <c r="P48" s="130"/>
      <c r="Q48" s="130"/>
      <c r="R48" s="130">
        <f t="shared" si="49"/>
        <v>5288</v>
      </c>
      <c r="S48" s="130">
        <f t="shared" si="50"/>
        <v>5288</v>
      </c>
      <c r="T48" s="779"/>
      <c r="U48" s="661"/>
      <c r="V48" s="700" t="str">
        <f>VLOOKUP("단가"&amp;$B:$B&amp;"번",일위!Q:Q,1,FALSE)</f>
        <v>단가41번</v>
      </c>
      <c r="X48" s="472" t="e">
        <f>VLOOKUP(A48,내역!I:I,1,FALSE)</f>
        <v>#N/A</v>
      </c>
      <c r="Y48" s="472"/>
      <c r="Z48" s="779">
        <v>640</v>
      </c>
      <c r="AA48" s="771">
        <v>95200</v>
      </c>
      <c r="AB48" s="771">
        <v>95200</v>
      </c>
      <c r="AC48" s="772">
        <v>18</v>
      </c>
      <c r="AD48" s="773" t="str">
        <f t="shared" si="51"/>
        <v>●</v>
      </c>
      <c r="AE48" s="780"/>
      <c r="AF48" s="771"/>
      <c r="AG48" s="771"/>
      <c r="AH48" s="762"/>
      <c r="AI48" s="762"/>
    </row>
    <row r="49" spans="1:35" s="700" customFormat="1" ht="19.5" customHeight="1" x14ac:dyDescent="0.15">
      <c r="A49" s="700" t="str">
        <f t="shared" si="44"/>
        <v>우드실러U711A0001ℓ</v>
      </c>
      <c r="B49" s="864">
        <f t="shared" si="9"/>
        <v>42</v>
      </c>
      <c r="C49" s="632"/>
      <c r="D49" s="164" t="s">
        <v>1160</v>
      </c>
      <c r="E49" s="165"/>
      <c r="F49" s="164" t="s">
        <v>1161</v>
      </c>
      <c r="G49" s="455" t="s">
        <v>360</v>
      </c>
      <c r="H49" s="130"/>
      <c r="I49" s="129">
        <f t="shared" si="45"/>
        <v>5600</v>
      </c>
      <c r="J49" s="129">
        <f t="shared" si="46"/>
        <v>640</v>
      </c>
      <c r="K49" s="129" t="str">
        <f t="shared" si="47"/>
        <v/>
      </c>
      <c r="L49" s="129">
        <f t="shared" si="48"/>
        <v>0</v>
      </c>
      <c r="M49" s="130"/>
      <c r="N49" s="130"/>
      <c r="O49" s="130"/>
      <c r="P49" s="130"/>
      <c r="Q49" s="130"/>
      <c r="R49" s="130">
        <f t="shared" si="49"/>
        <v>5600</v>
      </c>
      <c r="S49" s="130">
        <f t="shared" si="50"/>
        <v>5600</v>
      </c>
      <c r="T49" s="779"/>
      <c r="U49" s="761"/>
      <c r="V49" s="700" t="str">
        <f>VLOOKUP("단가"&amp;$B:$B&amp;"번",일위!Q:Q,1,FALSE)</f>
        <v>단가42번</v>
      </c>
      <c r="X49" s="472" t="e">
        <f>VLOOKUP(A49,내역!I:I,1,FALSE)</f>
        <v>#N/A</v>
      </c>
      <c r="Y49" s="472"/>
      <c r="Z49" s="779">
        <v>640</v>
      </c>
      <c r="AA49" s="771">
        <v>100800</v>
      </c>
      <c r="AB49" s="771">
        <v>100800</v>
      </c>
      <c r="AC49" s="772">
        <v>18</v>
      </c>
      <c r="AD49" s="773" t="str">
        <f t="shared" si="51"/>
        <v>●</v>
      </c>
      <c r="AE49" s="780"/>
      <c r="AF49" s="771"/>
      <c r="AG49" s="771"/>
      <c r="AH49" s="762"/>
      <c r="AI49" s="762"/>
    </row>
    <row r="50" spans="1:35" s="700" customFormat="1" ht="19.5" customHeight="1" x14ac:dyDescent="0.15">
      <c r="A50" s="700" t="str">
        <f t="shared" si="44"/>
        <v>우드필러U711A4001ℓ</v>
      </c>
      <c r="B50" s="864">
        <f t="shared" si="9"/>
        <v>43</v>
      </c>
      <c r="C50" s="632"/>
      <c r="D50" s="164" t="s">
        <v>1162</v>
      </c>
      <c r="E50" s="165"/>
      <c r="F50" s="164" t="s">
        <v>1163</v>
      </c>
      <c r="G50" s="455" t="s">
        <v>360</v>
      </c>
      <c r="H50" s="130"/>
      <c r="I50" s="129">
        <f t="shared" si="45"/>
        <v>6400</v>
      </c>
      <c r="J50" s="129">
        <f t="shared" si="46"/>
        <v>640</v>
      </c>
      <c r="K50" s="129" t="str">
        <f t="shared" si="47"/>
        <v/>
      </c>
      <c r="L50" s="129">
        <f t="shared" si="48"/>
        <v>0</v>
      </c>
      <c r="M50" s="130"/>
      <c r="N50" s="130"/>
      <c r="O50" s="130"/>
      <c r="P50" s="130"/>
      <c r="Q50" s="130"/>
      <c r="R50" s="130">
        <f t="shared" si="49"/>
        <v>6400</v>
      </c>
      <c r="S50" s="130">
        <f t="shared" si="50"/>
        <v>6400</v>
      </c>
      <c r="T50" s="779"/>
      <c r="U50" s="761"/>
      <c r="V50" s="700" t="str">
        <f>VLOOKUP("단가"&amp;$B:$B&amp;"번",일위!Q:Q,1,FALSE)</f>
        <v>단가43번</v>
      </c>
      <c r="X50" s="472" t="e">
        <f>VLOOKUP(A50,내역!I:I,1,FALSE)</f>
        <v>#N/A</v>
      </c>
      <c r="Y50" s="472"/>
      <c r="Z50" s="779">
        <v>640</v>
      </c>
      <c r="AA50" s="771">
        <v>25600</v>
      </c>
      <c r="AB50" s="771">
        <v>25600</v>
      </c>
      <c r="AC50" s="772">
        <v>4</v>
      </c>
      <c r="AD50" s="773" t="str">
        <f t="shared" si="51"/>
        <v>●</v>
      </c>
      <c r="AE50" s="780"/>
      <c r="AF50" s="771"/>
      <c r="AG50" s="771"/>
      <c r="AH50" s="762"/>
      <c r="AI50" s="762"/>
    </row>
    <row r="51" spans="1:35" s="700" customFormat="1" ht="19.5" customHeight="1" x14ac:dyDescent="0.15">
      <c r="A51" s="700" t="str">
        <f>CONCATENATE(D51,F51,G51)</f>
        <v>합판THK=12mm*4'*8'(준내수)㎡</v>
      </c>
      <c r="B51" s="864">
        <f t="shared" si="9"/>
        <v>44</v>
      </c>
      <c r="C51" s="632"/>
      <c r="D51" s="164" t="s">
        <v>469</v>
      </c>
      <c r="E51" s="165"/>
      <c r="F51" s="164" t="s">
        <v>525</v>
      </c>
      <c r="G51" s="455" t="s">
        <v>350</v>
      </c>
      <c r="H51" s="130"/>
      <c r="I51" s="129">
        <f t="shared" ref="I51:I68" si="53">IF(AB51=0,"",TRUNC(AB51/AC51,0))</f>
        <v>8854</v>
      </c>
      <c r="J51" s="129">
        <f t="shared" ref="J51:J68" si="54">Z51</f>
        <v>692</v>
      </c>
      <c r="K51" s="129">
        <f t="shared" ref="K51:K68" si="55">IF(AG51=0,"",TRUNC(AG51/AH51,0))</f>
        <v>9305</v>
      </c>
      <c r="L51" s="129" t="str">
        <f t="shared" ref="L51:L68" si="56">AE51</f>
        <v>352(2)</v>
      </c>
      <c r="M51" s="130"/>
      <c r="N51" s="130"/>
      <c r="O51" s="130"/>
      <c r="P51" s="130"/>
      <c r="Q51" s="130"/>
      <c r="R51" s="130">
        <f t="shared" ref="R51:R68" si="57">TRUNC(MIN(H51,I51,K51,M51,N51,O51,P51,Q51))</f>
        <v>8854</v>
      </c>
      <c r="S51" s="130">
        <f t="shared" ref="S51:S66" si="58">TRUNC(R51*$T$4%)</f>
        <v>8854</v>
      </c>
      <c r="T51" s="779"/>
      <c r="U51" s="661"/>
      <c r="V51" s="700" t="e">
        <f>VLOOKUP("단가"&amp;$B:$B&amp;"번",일위!Q:Q,1,FALSE)</f>
        <v>#N/A</v>
      </c>
      <c r="X51" s="472" t="e">
        <f>VLOOKUP(A51,내역!I:I,1,FALSE)</f>
        <v>#N/A</v>
      </c>
      <c r="Y51" s="472"/>
      <c r="Z51" s="779">
        <v>692</v>
      </c>
      <c r="AA51" s="820">
        <v>26600</v>
      </c>
      <c r="AB51" s="820">
        <v>25500</v>
      </c>
      <c r="AC51" s="783">
        <f>1.2*2.4</f>
        <v>2.88</v>
      </c>
      <c r="AD51" s="773" t="str">
        <f t="shared" ref="AD51:AD68" si="59">IF(AA51&gt;AB51,"▼",IF(AA51=AB51,"●","▲"))</f>
        <v>▼</v>
      </c>
      <c r="AE51" s="777" t="s">
        <v>1164</v>
      </c>
      <c r="AF51" s="820">
        <v>27700</v>
      </c>
      <c r="AG51" s="820">
        <v>27700</v>
      </c>
      <c r="AH51" s="762">
        <f t="shared" ref="AH51:AH59" si="60">1.22*2.44</f>
        <v>2.9767999999999999</v>
      </c>
      <c r="AI51" s="762" t="str">
        <f t="shared" si="52"/>
        <v>●</v>
      </c>
    </row>
    <row r="52" spans="1:35" s="700" customFormat="1" ht="19.5" customHeight="1" x14ac:dyDescent="0.15">
      <c r="A52" s="700" t="str">
        <f t="shared" si="44"/>
        <v>합판THK=4.8mm*4'*8'(준내수)㎡</v>
      </c>
      <c r="B52" s="864">
        <f t="shared" si="9"/>
        <v>45</v>
      </c>
      <c r="C52" s="632"/>
      <c r="D52" s="164" t="s">
        <v>469</v>
      </c>
      <c r="E52" s="165"/>
      <c r="F52" s="164" t="s">
        <v>571</v>
      </c>
      <c r="G52" s="455" t="s">
        <v>350</v>
      </c>
      <c r="H52" s="130"/>
      <c r="I52" s="129">
        <f t="shared" si="53"/>
        <v>4131</v>
      </c>
      <c r="J52" s="129">
        <f t="shared" si="54"/>
        <v>692</v>
      </c>
      <c r="K52" s="129">
        <f t="shared" si="55"/>
        <v>4266</v>
      </c>
      <c r="L52" s="129" t="str">
        <f t="shared" si="56"/>
        <v>352(2)</v>
      </c>
      <c r="M52" s="130"/>
      <c r="N52" s="130"/>
      <c r="O52" s="130"/>
      <c r="P52" s="130"/>
      <c r="Q52" s="130"/>
      <c r="R52" s="130">
        <f t="shared" si="57"/>
        <v>4131</v>
      </c>
      <c r="S52" s="130">
        <f t="shared" si="58"/>
        <v>4131</v>
      </c>
      <c r="T52" s="779"/>
      <c r="U52" s="661"/>
      <c r="V52" s="700" t="e">
        <f>VLOOKUP("단가"&amp;$B:$B&amp;"번",일위!Q:Q,1,FALSE)</f>
        <v>#N/A</v>
      </c>
      <c r="X52" s="472" t="e">
        <f>VLOOKUP(A52,내역!I:I,1,FALSE)</f>
        <v>#N/A</v>
      </c>
      <c r="Y52" s="472"/>
      <c r="Z52" s="779">
        <v>692</v>
      </c>
      <c r="AA52" s="820">
        <v>12400</v>
      </c>
      <c r="AB52" s="820">
        <v>11900</v>
      </c>
      <c r="AC52" s="783">
        <f t="shared" ref="AC52:AC59" si="61">1.2*2.4</f>
        <v>2.88</v>
      </c>
      <c r="AD52" s="773" t="str">
        <f t="shared" si="59"/>
        <v>▼</v>
      </c>
      <c r="AE52" s="777" t="s">
        <v>1164</v>
      </c>
      <c r="AF52" s="820">
        <v>12700</v>
      </c>
      <c r="AG52" s="820">
        <v>12700</v>
      </c>
      <c r="AH52" s="762">
        <f t="shared" si="60"/>
        <v>2.9767999999999999</v>
      </c>
      <c r="AI52" s="762" t="str">
        <f t="shared" si="52"/>
        <v>●</v>
      </c>
    </row>
    <row r="53" spans="1:35" s="700" customFormat="1" ht="19.5" customHeight="1" x14ac:dyDescent="0.15">
      <c r="A53" s="700" t="str">
        <f t="shared" si="44"/>
        <v>합판THK=8.5mm*4'*8'(준내수)㎡</v>
      </c>
      <c r="B53" s="864">
        <f t="shared" si="9"/>
        <v>46</v>
      </c>
      <c r="C53" s="632"/>
      <c r="D53" s="164" t="s">
        <v>469</v>
      </c>
      <c r="E53" s="165"/>
      <c r="F53" s="164" t="s">
        <v>470</v>
      </c>
      <c r="G53" s="455" t="s">
        <v>350</v>
      </c>
      <c r="H53" s="130"/>
      <c r="I53" s="129">
        <f t="shared" si="53"/>
        <v>7083</v>
      </c>
      <c r="J53" s="129">
        <f t="shared" si="54"/>
        <v>692</v>
      </c>
      <c r="K53" s="129">
        <f t="shared" si="55"/>
        <v>7457</v>
      </c>
      <c r="L53" s="129" t="str">
        <f t="shared" si="56"/>
        <v>352(2)</v>
      </c>
      <c r="M53" s="130"/>
      <c r="N53" s="130"/>
      <c r="O53" s="130"/>
      <c r="P53" s="130"/>
      <c r="Q53" s="130"/>
      <c r="R53" s="130">
        <f t="shared" si="57"/>
        <v>7083</v>
      </c>
      <c r="S53" s="130">
        <f t="shared" si="58"/>
        <v>7083</v>
      </c>
      <c r="T53" s="779"/>
      <c r="U53" s="661"/>
      <c r="V53" s="700" t="str">
        <f>VLOOKUP("단가"&amp;$B:$B&amp;"번",일위!Q:Q,1,FALSE)</f>
        <v>단가46번</v>
      </c>
      <c r="X53" s="472" t="e">
        <f>VLOOKUP(A53,내역!I:I,1,FALSE)</f>
        <v>#N/A</v>
      </c>
      <c r="Y53" s="472"/>
      <c r="Z53" s="779">
        <v>692</v>
      </c>
      <c r="AA53" s="820">
        <v>21300</v>
      </c>
      <c r="AB53" s="820">
        <v>20400</v>
      </c>
      <c r="AC53" s="783">
        <f t="shared" si="61"/>
        <v>2.88</v>
      </c>
      <c r="AD53" s="773" t="str">
        <f t="shared" si="59"/>
        <v>▼</v>
      </c>
      <c r="AE53" s="777" t="s">
        <v>1164</v>
      </c>
      <c r="AF53" s="820">
        <v>22200</v>
      </c>
      <c r="AG53" s="820">
        <v>22200</v>
      </c>
      <c r="AH53" s="762">
        <f t="shared" si="60"/>
        <v>2.9767999999999999</v>
      </c>
      <c r="AI53" s="762" t="str">
        <f t="shared" si="52"/>
        <v>●</v>
      </c>
    </row>
    <row r="54" spans="1:35" s="700" customFormat="1" ht="19.5" customHeight="1" x14ac:dyDescent="0.15">
      <c r="A54" s="700" t="str">
        <f t="shared" ref="A54" si="62">CONCATENATE(D54,F54,G54)</f>
        <v>코아합판THK=15mm*4'*8'(라왕)㎡</v>
      </c>
      <c r="B54" s="864">
        <f t="shared" si="9"/>
        <v>47</v>
      </c>
      <c r="C54" s="632"/>
      <c r="D54" s="164" t="s">
        <v>1195</v>
      </c>
      <c r="E54" s="165"/>
      <c r="F54" s="164" t="s">
        <v>1196</v>
      </c>
      <c r="G54" s="455" t="s">
        <v>350</v>
      </c>
      <c r="H54" s="130"/>
      <c r="I54" s="129">
        <f t="shared" ref="I54" si="63">IF(AB54=0,"",TRUNC(AB54/AC54,0))</f>
        <v>10694</v>
      </c>
      <c r="J54" s="129">
        <f t="shared" ref="J54" si="64">Z54</f>
        <v>693</v>
      </c>
      <c r="K54" s="129" t="str">
        <f t="shared" ref="K54" si="65">IF(AG54=0,"",TRUNC(AG54/AH54,0))</f>
        <v/>
      </c>
      <c r="L54" s="129">
        <f t="shared" ref="L54" si="66">AE54</f>
        <v>0</v>
      </c>
      <c r="M54" s="130"/>
      <c r="N54" s="130"/>
      <c r="O54" s="130"/>
      <c r="P54" s="130"/>
      <c r="Q54" s="130"/>
      <c r="R54" s="130">
        <f t="shared" ref="R54" si="67">TRUNC(MIN(H54,I54,K54,M54,N54,O54,P54,Q54))</f>
        <v>10694</v>
      </c>
      <c r="S54" s="130">
        <f t="shared" ref="S54" si="68">TRUNC(R54*$T$4%)</f>
        <v>10694</v>
      </c>
      <c r="T54" s="779"/>
      <c r="U54" s="661"/>
      <c r="V54" s="700" t="e">
        <f>VLOOKUP("단가"&amp;$B:$B&amp;"번",일위!Q:Q,1,FALSE)</f>
        <v>#N/A</v>
      </c>
      <c r="X54" s="472" t="e">
        <f>VLOOKUP(A54,내역!I:I,1,FALSE)</f>
        <v>#N/A</v>
      </c>
      <c r="Y54" s="472"/>
      <c r="Z54" s="779">
        <v>693</v>
      </c>
      <c r="AA54" s="820">
        <v>30800</v>
      </c>
      <c r="AB54" s="820">
        <v>30800</v>
      </c>
      <c r="AC54" s="783">
        <f t="shared" si="61"/>
        <v>2.88</v>
      </c>
      <c r="AD54" s="773" t="str">
        <f t="shared" ref="AD54" si="69">IF(AA54&gt;AB54,"▼",IF(AA54=AB54,"●","▲"))</f>
        <v>●</v>
      </c>
      <c r="AE54" s="777"/>
      <c r="AF54" s="820"/>
      <c r="AG54" s="820"/>
      <c r="AH54" s="762"/>
      <c r="AI54" s="762"/>
    </row>
    <row r="55" spans="1:35" s="700" customFormat="1" ht="19.5" customHeight="1" x14ac:dyDescent="0.15">
      <c r="A55" s="700" t="str">
        <f t="shared" ref="A55" si="70">CONCATENATE(D55,F55,G55)</f>
        <v>코아합판THK=18mm*4'*8'(라왕)㎡</v>
      </c>
      <c r="B55" s="864">
        <f t="shared" si="9"/>
        <v>48</v>
      </c>
      <c r="C55" s="632"/>
      <c r="D55" s="164" t="s">
        <v>1195</v>
      </c>
      <c r="E55" s="165"/>
      <c r="F55" s="164" t="s">
        <v>1197</v>
      </c>
      <c r="G55" s="455" t="s">
        <v>350</v>
      </c>
      <c r="H55" s="130"/>
      <c r="I55" s="129">
        <f t="shared" ref="I55" si="71">IF(AB55=0,"",TRUNC(AB55/AC55,0))</f>
        <v>11284</v>
      </c>
      <c r="J55" s="129">
        <f t="shared" ref="J55" si="72">Z55</f>
        <v>693</v>
      </c>
      <c r="K55" s="129" t="str">
        <f t="shared" ref="K55" si="73">IF(AG55=0,"",TRUNC(AG55/AH55,0))</f>
        <v/>
      </c>
      <c r="L55" s="129">
        <f t="shared" ref="L55" si="74">AE55</f>
        <v>0</v>
      </c>
      <c r="M55" s="130"/>
      <c r="N55" s="130"/>
      <c r="O55" s="130"/>
      <c r="P55" s="130"/>
      <c r="Q55" s="130"/>
      <c r="R55" s="130">
        <f t="shared" ref="R55" si="75">TRUNC(MIN(H55,I55,K55,M55,N55,O55,P55,Q55))</f>
        <v>11284</v>
      </c>
      <c r="S55" s="130">
        <f t="shared" ref="S55" si="76">TRUNC(R55*$T$4%)</f>
        <v>11284</v>
      </c>
      <c r="T55" s="779"/>
      <c r="U55" s="661"/>
      <c r="V55" s="700" t="e">
        <f>VLOOKUP("단가"&amp;$B:$B&amp;"번",일위!Q:Q,1,FALSE)</f>
        <v>#N/A</v>
      </c>
      <c r="X55" s="472" t="e">
        <f>VLOOKUP(A55,내역!I:I,1,FALSE)</f>
        <v>#N/A</v>
      </c>
      <c r="Y55" s="472"/>
      <c r="Z55" s="779">
        <v>693</v>
      </c>
      <c r="AA55" s="820">
        <v>32500</v>
      </c>
      <c r="AB55" s="820">
        <v>32500</v>
      </c>
      <c r="AC55" s="783">
        <f t="shared" si="61"/>
        <v>2.88</v>
      </c>
      <c r="AD55" s="773" t="str">
        <f t="shared" ref="AD55" si="77">IF(AA55&gt;AB55,"▼",IF(AA55=AB55,"●","▲"))</f>
        <v>●</v>
      </c>
      <c r="AE55" s="777"/>
      <c r="AF55" s="820"/>
      <c r="AG55" s="820"/>
      <c r="AH55" s="762"/>
      <c r="AI55" s="762"/>
    </row>
    <row r="56" spans="1:35" s="700" customFormat="1" ht="19.5" customHeight="1" x14ac:dyDescent="0.15">
      <c r="A56" s="700" t="str">
        <f t="shared" si="44"/>
        <v>M.D.FTHK=12mm, EO㎡</v>
      </c>
      <c r="B56" s="864">
        <f t="shared" si="9"/>
        <v>49</v>
      </c>
      <c r="C56" s="632"/>
      <c r="D56" s="164" t="s">
        <v>1165</v>
      </c>
      <c r="E56" s="165"/>
      <c r="F56" s="164" t="s">
        <v>1166</v>
      </c>
      <c r="G56" s="455" t="s">
        <v>1167</v>
      </c>
      <c r="H56" s="757">
        <v>4939</v>
      </c>
      <c r="I56" s="129">
        <f t="shared" si="53"/>
        <v>6215</v>
      </c>
      <c r="J56" s="129">
        <f t="shared" si="54"/>
        <v>693</v>
      </c>
      <c r="K56" s="129">
        <f t="shared" si="55"/>
        <v>5072</v>
      </c>
      <c r="L56" s="129" t="str">
        <f t="shared" si="56"/>
        <v>353(2)</v>
      </c>
      <c r="M56" s="129"/>
      <c r="N56" s="130"/>
      <c r="O56" s="130"/>
      <c r="P56" s="130"/>
      <c r="Q56" s="130"/>
      <c r="R56" s="130">
        <f t="shared" si="57"/>
        <v>4939</v>
      </c>
      <c r="S56" s="130">
        <f t="shared" si="58"/>
        <v>4939</v>
      </c>
      <c r="T56" s="779"/>
      <c r="U56" s="661"/>
      <c r="V56" s="700" t="e">
        <f>VLOOKUP("단가"&amp;$B:$B&amp;"번",일위!Q:Q,1,FALSE)</f>
        <v>#N/A</v>
      </c>
      <c r="X56" s="472" t="e">
        <f>VLOOKUP(A56,내역!I:I,1,FALSE)</f>
        <v>#N/A</v>
      </c>
      <c r="Y56" s="472"/>
      <c r="Z56" s="779">
        <v>693</v>
      </c>
      <c r="AA56" s="820">
        <v>18700</v>
      </c>
      <c r="AB56" s="820">
        <v>17900</v>
      </c>
      <c r="AC56" s="783">
        <f t="shared" si="61"/>
        <v>2.88</v>
      </c>
      <c r="AD56" s="773" t="str">
        <f t="shared" si="59"/>
        <v>▼</v>
      </c>
      <c r="AE56" s="777" t="s">
        <v>1168</v>
      </c>
      <c r="AF56" s="820">
        <v>15100</v>
      </c>
      <c r="AG56" s="820">
        <v>15100</v>
      </c>
      <c r="AH56" s="762">
        <f t="shared" si="60"/>
        <v>2.9767999999999999</v>
      </c>
      <c r="AI56" s="762" t="str">
        <f t="shared" si="52"/>
        <v>●</v>
      </c>
    </row>
    <row r="57" spans="1:35" s="700" customFormat="1" ht="19.5" customHeight="1" x14ac:dyDescent="0.15">
      <c r="A57" s="700" t="str">
        <f t="shared" si="44"/>
        <v>M.D.FTHK=18mm, EO㎡</v>
      </c>
      <c r="B57" s="864">
        <f t="shared" si="9"/>
        <v>50</v>
      </c>
      <c r="C57" s="632"/>
      <c r="D57" s="164" t="s">
        <v>1165</v>
      </c>
      <c r="E57" s="165"/>
      <c r="F57" s="164" t="s">
        <v>1169</v>
      </c>
      <c r="G57" s="455" t="s">
        <v>1167</v>
      </c>
      <c r="H57" s="757">
        <v>6454</v>
      </c>
      <c r="I57" s="129">
        <f t="shared" si="53"/>
        <v>8958</v>
      </c>
      <c r="J57" s="129">
        <f t="shared" si="54"/>
        <v>693</v>
      </c>
      <c r="K57" s="129">
        <f t="shared" si="55"/>
        <v>7121</v>
      </c>
      <c r="L57" s="129" t="str">
        <f t="shared" si="56"/>
        <v>353(2)</v>
      </c>
      <c r="M57" s="129"/>
      <c r="N57" s="130"/>
      <c r="O57" s="130"/>
      <c r="P57" s="130"/>
      <c r="Q57" s="130"/>
      <c r="R57" s="130">
        <f t="shared" si="57"/>
        <v>6454</v>
      </c>
      <c r="S57" s="130">
        <f t="shared" si="58"/>
        <v>6454</v>
      </c>
      <c r="T57" s="779"/>
      <c r="U57" s="661"/>
      <c r="V57" s="700" t="e">
        <f>VLOOKUP("단가"&amp;$B:$B&amp;"번",일위!Q:Q,1,FALSE)</f>
        <v>#N/A</v>
      </c>
      <c r="X57" s="472" t="e">
        <f>VLOOKUP(A57,내역!I:I,1,FALSE)</f>
        <v>#N/A</v>
      </c>
      <c r="Y57" s="472"/>
      <c r="Z57" s="779">
        <v>693</v>
      </c>
      <c r="AA57" s="820">
        <v>26900</v>
      </c>
      <c r="AB57" s="820">
        <v>25800</v>
      </c>
      <c r="AC57" s="783">
        <f t="shared" si="61"/>
        <v>2.88</v>
      </c>
      <c r="AD57" s="773" t="str">
        <f t="shared" si="59"/>
        <v>▼</v>
      </c>
      <c r="AE57" s="777" t="s">
        <v>1168</v>
      </c>
      <c r="AF57" s="820">
        <v>21200</v>
      </c>
      <c r="AG57" s="820">
        <v>21200</v>
      </c>
      <c r="AH57" s="762">
        <f t="shared" si="60"/>
        <v>2.9767999999999999</v>
      </c>
      <c r="AI57" s="762" t="str">
        <f t="shared" si="52"/>
        <v>●</v>
      </c>
    </row>
    <row r="58" spans="1:35" s="700" customFormat="1" ht="19.5" customHeight="1" x14ac:dyDescent="0.15">
      <c r="A58" s="700" t="str">
        <f t="shared" ref="A58" si="78">CONCATENATE(D58,F58,G58)</f>
        <v>M.D.FTHK=20mm, EO㎡</v>
      </c>
      <c r="B58" s="864">
        <f t="shared" si="9"/>
        <v>51</v>
      </c>
      <c r="C58" s="632"/>
      <c r="D58" s="164" t="s">
        <v>1165</v>
      </c>
      <c r="E58" s="165"/>
      <c r="F58" s="164" t="s">
        <v>1297</v>
      </c>
      <c r="G58" s="455" t="s">
        <v>1167</v>
      </c>
      <c r="H58" s="757"/>
      <c r="I58" s="129">
        <f t="shared" ref="I58" si="79">IF(AB58=0,"",TRUNC(AB58/AC58,0))</f>
        <v>10659</v>
      </c>
      <c r="J58" s="129">
        <f t="shared" ref="J58" si="80">Z58</f>
        <v>693</v>
      </c>
      <c r="K58" s="129"/>
      <c r="L58" s="129"/>
      <c r="M58" s="129"/>
      <c r="N58" s="130"/>
      <c r="O58" s="130"/>
      <c r="P58" s="130"/>
      <c r="Q58" s="130"/>
      <c r="R58" s="130">
        <f t="shared" ref="R58" si="81">TRUNC(MIN(H58,I58,K58,M58,N58,O58,P58,Q58))</f>
        <v>10659</v>
      </c>
      <c r="S58" s="130">
        <f t="shared" ref="S58" si="82">TRUNC(R58*$T$4%)</f>
        <v>10659</v>
      </c>
      <c r="T58" s="779"/>
      <c r="U58" s="661"/>
      <c r="V58" s="700" t="str">
        <f>VLOOKUP("단가"&amp;$B:$B&amp;"번",일위!Q:Q,1,FALSE)</f>
        <v>단가51번</v>
      </c>
      <c r="X58" s="472" t="e">
        <f>VLOOKUP(A58,내역!I:I,1,FALSE)</f>
        <v>#N/A</v>
      </c>
      <c r="Y58" s="472"/>
      <c r="Z58" s="779">
        <v>693</v>
      </c>
      <c r="AA58" s="820">
        <v>30700</v>
      </c>
      <c r="AB58" s="820">
        <v>30700</v>
      </c>
      <c r="AC58" s="783">
        <f t="shared" si="61"/>
        <v>2.88</v>
      </c>
      <c r="AD58" s="773" t="str">
        <f t="shared" ref="AD58" si="83">IF(AA58&gt;AB58,"▼",IF(AA58=AB58,"●","▲"))</f>
        <v>●</v>
      </c>
      <c r="AE58" s="777" t="s">
        <v>1168</v>
      </c>
      <c r="AF58" s="820">
        <v>21200</v>
      </c>
      <c r="AG58" s="820">
        <v>21200</v>
      </c>
      <c r="AH58" s="762">
        <f t="shared" si="60"/>
        <v>2.9767999999999999</v>
      </c>
      <c r="AI58" s="762" t="str">
        <f t="shared" ref="AI58" si="84">IF(AF58&gt;AG58,"▼",IF(AF58=AG58,"●","▲"))</f>
        <v>●</v>
      </c>
    </row>
    <row r="59" spans="1:35" s="700" customFormat="1" ht="19.5" customHeight="1" x14ac:dyDescent="0.15">
      <c r="A59" s="700" t="str">
        <f t="shared" ref="A59:A61" si="85">CONCATENATE(D59,F59,G59)</f>
        <v>M.D.FTHK=9mm, EO㎡</v>
      </c>
      <c r="B59" s="864">
        <f t="shared" si="9"/>
        <v>52</v>
      </c>
      <c r="C59" s="632"/>
      <c r="D59" s="164" t="s">
        <v>441</v>
      </c>
      <c r="E59" s="165"/>
      <c r="F59" s="164" t="s">
        <v>442</v>
      </c>
      <c r="G59" s="455" t="s">
        <v>350</v>
      </c>
      <c r="H59" s="714">
        <v>3811</v>
      </c>
      <c r="I59" s="129">
        <f t="shared" si="53"/>
        <v>4756</v>
      </c>
      <c r="J59" s="129">
        <f t="shared" si="54"/>
        <v>693</v>
      </c>
      <c r="K59" s="129">
        <f t="shared" si="55"/>
        <v>3728</v>
      </c>
      <c r="L59" s="129" t="str">
        <f t="shared" si="56"/>
        <v>353(2)</v>
      </c>
      <c r="M59" s="130"/>
      <c r="N59" s="130"/>
      <c r="O59" s="130"/>
      <c r="P59" s="130"/>
      <c r="Q59" s="130"/>
      <c r="R59" s="130">
        <f t="shared" si="57"/>
        <v>3728</v>
      </c>
      <c r="S59" s="130">
        <f t="shared" si="58"/>
        <v>3728</v>
      </c>
      <c r="T59" s="779"/>
      <c r="U59" s="661"/>
      <c r="V59" s="700" t="str">
        <f>VLOOKUP("단가"&amp;$B:$B&amp;"번",일위!Q:Q,1,FALSE)</f>
        <v>단가52번</v>
      </c>
      <c r="X59" s="472" t="e">
        <f>VLOOKUP(A59,내역!I:I,1,FALSE)</f>
        <v>#N/A</v>
      </c>
      <c r="Y59" s="472"/>
      <c r="Z59" s="779">
        <v>693</v>
      </c>
      <c r="AA59" s="771">
        <v>14300</v>
      </c>
      <c r="AB59" s="771">
        <v>13700</v>
      </c>
      <c r="AC59" s="783">
        <f t="shared" si="61"/>
        <v>2.88</v>
      </c>
      <c r="AD59" s="773" t="str">
        <f t="shared" si="59"/>
        <v>▼</v>
      </c>
      <c r="AE59" s="777" t="s">
        <v>1168</v>
      </c>
      <c r="AF59" s="771">
        <v>11100</v>
      </c>
      <c r="AG59" s="771">
        <v>11100</v>
      </c>
      <c r="AH59" s="762">
        <f t="shared" si="60"/>
        <v>2.9767999999999999</v>
      </c>
      <c r="AI59" s="762" t="str">
        <f t="shared" si="52"/>
        <v>●</v>
      </c>
    </row>
    <row r="60" spans="1:35" s="700" customFormat="1" ht="19.5" customHeight="1" x14ac:dyDescent="0.15">
      <c r="A60" s="700" t="str">
        <f t="shared" si="85"/>
        <v>인테리어필름0.40*1220 방염우드㎡</v>
      </c>
      <c r="B60" s="864">
        <f t="shared" si="9"/>
        <v>53</v>
      </c>
      <c r="C60" s="632"/>
      <c r="D60" s="164" t="s">
        <v>602</v>
      </c>
      <c r="E60" s="165"/>
      <c r="F60" s="164" t="s">
        <v>1170</v>
      </c>
      <c r="G60" s="455" t="s">
        <v>350</v>
      </c>
      <c r="H60" s="130"/>
      <c r="I60" s="129">
        <f t="shared" si="53"/>
        <v>35000</v>
      </c>
      <c r="J60" s="129">
        <f t="shared" si="54"/>
        <v>694</v>
      </c>
      <c r="K60" s="129" t="str">
        <f t="shared" si="55"/>
        <v/>
      </c>
      <c r="L60" s="129">
        <f t="shared" si="56"/>
        <v>0</v>
      </c>
      <c r="M60" s="130"/>
      <c r="N60" s="130"/>
      <c r="O60" s="130"/>
      <c r="P60" s="130"/>
      <c r="Q60" s="130"/>
      <c r="R60" s="130">
        <f t="shared" si="57"/>
        <v>35000</v>
      </c>
      <c r="S60" s="130">
        <f t="shared" si="58"/>
        <v>35000</v>
      </c>
      <c r="T60" s="779"/>
      <c r="U60" s="661"/>
      <c r="V60" s="700" t="str">
        <f>VLOOKUP("단가"&amp;$B:$B&amp;"번",일위!Q:Q,1,FALSE)</f>
        <v>단가53번</v>
      </c>
      <c r="X60" s="472" t="e">
        <f>VLOOKUP(A60,내역!I:I,1,FALSE)</f>
        <v>#N/A</v>
      </c>
      <c r="Y60" s="472"/>
      <c r="Z60" s="779">
        <v>694</v>
      </c>
      <c r="AA60" s="771">
        <v>35000</v>
      </c>
      <c r="AB60" s="771">
        <v>35000</v>
      </c>
      <c r="AC60" s="772">
        <v>1</v>
      </c>
      <c r="AD60" s="773" t="str">
        <f t="shared" si="59"/>
        <v>●</v>
      </c>
      <c r="AE60" s="780"/>
      <c r="AF60" s="771"/>
      <c r="AG60" s="771"/>
      <c r="AH60" s="762"/>
      <c r="AI60" s="762"/>
    </row>
    <row r="61" spans="1:35" s="700" customFormat="1" ht="19.5" customHeight="1" x14ac:dyDescent="0.15">
      <c r="A61" s="700" t="str">
        <f t="shared" si="85"/>
        <v>석고보드THK=9.5mm*3'*6'㎡</v>
      </c>
      <c r="B61" s="864">
        <f t="shared" si="9"/>
        <v>54</v>
      </c>
      <c r="C61" s="632"/>
      <c r="D61" s="164" t="s">
        <v>370</v>
      </c>
      <c r="E61" s="165"/>
      <c r="F61" s="164" t="s">
        <v>471</v>
      </c>
      <c r="G61" s="455" t="s">
        <v>350</v>
      </c>
      <c r="H61" s="130"/>
      <c r="I61" s="129">
        <f t="shared" si="53"/>
        <v>2407</v>
      </c>
      <c r="J61" s="129">
        <f t="shared" si="54"/>
        <v>698</v>
      </c>
      <c r="K61" s="129">
        <f t="shared" si="55"/>
        <v>2592</v>
      </c>
      <c r="L61" s="129" t="str">
        <f t="shared" si="56"/>
        <v>353(2)</v>
      </c>
      <c r="M61" s="130"/>
      <c r="N61" s="130"/>
      <c r="O61" s="130"/>
      <c r="P61" s="130"/>
      <c r="Q61" s="130"/>
      <c r="R61" s="130">
        <f t="shared" si="57"/>
        <v>2407</v>
      </c>
      <c r="S61" s="130">
        <f t="shared" si="58"/>
        <v>2407</v>
      </c>
      <c r="T61" s="779"/>
      <c r="U61" s="661"/>
      <c r="V61" s="700" t="str">
        <f>VLOOKUP("단가"&amp;$B:$B&amp;"번",일위!Q:Q,1,FALSE)</f>
        <v>단가54번</v>
      </c>
      <c r="X61" s="472" t="e">
        <f>VLOOKUP(A61,내역!I:I,1,FALSE)</f>
        <v>#N/A</v>
      </c>
      <c r="Y61" s="472"/>
      <c r="Z61" s="779">
        <v>698</v>
      </c>
      <c r="AA61" s="771">
        <v>3900</v>
      </c>
      <c r="AB61" s="771">
        <v>3900</v>
      </c>
      <c r="AC61" s="772">
        <f>0.9*1.8</f>
        <v>1.62</v>
      </c>
      <c r="AD61" s="773" t="str">
        <f t="shared" si="59"/>
        <v>●</v>
      </c>
      <c r="AE61" s="777" t="s">
        <v>1168</v>
      </c>
      <c r="AF61" s="771">
        <v>4200</v>
      </c>
      <c r="AG61" s="771">
        <v>4200</v>
      </c>
      <c r="AH61" s="762">
        <f>0.9*1.8</f>
        <v>1.62</v>
      </c>
      <c r="AI61" s="762" t="str">
        <f t="shared" si="52"/>
        <v>●</v>
      </c>
    </row>
    <row r="62" spans="1:35" s="700" customFormat="1" ht="19.5" customHeight="1" x14ac:dyDescent="0.15">
      <c r="A62" s="700" t="str">
        <f t="shared" ref="A62:A68" si="86">CONCATENATE(D62,F62,G62)</f>
        <v>용접봉3.2mm, CR-13Kg</v>
      </c>
      <c r="B62" s="864">
        <f t="shared" si="9"/>
        <v>55</v>
      </c>
      <c r="C62" s="632"/>
      <c r="D62" s="164" t="s">
        <v>474</v>
      </c>
      <c r="E62" s="165"/>
      <c r="F62" s="164" t="s">
        <v>475</v>
      </c>
      <c r="G62" s="455" t="s">
        <v>357</v>
      </c>
      <c r="H62" s="130"/>
      <c r="I62" s="129">
        <f t="shared" si="53"/>
        <v>3150</v>
      </c>
      <c r="J62" s="129">
        <f t="shared" si="54"/>
        <v>1395</v>
      </c>
      <c r="K62" s="129">
        <f t="shared" si="55"/>
        <v>2784</v>
      </c>
      <c r="L62" s="129">
        <f t="shared" si="56"/>
        <v>578</v>
      </c>
      <c r="M62" s="130"/>
      <c r="N62" s="130"/>
      <c r="O62" s="130"/>
      <c r="P62" s="130"/>
      <c r="Q62" s="130"/>
      <c r="R62" s="130">
        <f t="shared" si="57"/>
        <v>2784</v>
      </c>
      <c r="S62" s="130">
        <f t="shared" si="58"/>
        <v>2784</v>
      </c>
      <c r="T62" s="779"/>
      <c r="U62" s="661"/>
      <c r="V62" s="700" t="str">
        <f>VLOOKUP("단가"&amp;$B:$B&amp;"번",일위!Q:Q,1,FALSE)</f>
        <v>단가55번</v>
      </c>
      <c r="X62" s="472" t="e">
        <f>VLOOKUP(A62,내역!I:I,1,FALSE)</f>
        <v>#N/A</v>
      </c>
      <c r="Y62" s="472"/>
      <c r="Z62" s="779">
        <v>1395</v>
      </c>
      <c r="AA62" s="820">
        <v>3150</v>
      </c>
      <c r="AB62" s="820">
        <v>3150</v>
      </c>
      <c r="AC62" s="762">
        <v>1</v>
      </c>
      <c r="AD62" s="773" t="str">
        <f t="shared" si="59"/>
        <v>●</v>
      </c>
      <c r="AE62" s="777">
        <v>578</v>
      </c>
      <c r="AF62" s="771">
        <v>2784</v>
      </c>
      <c r="AG62" s="771">
        <v>2784</v>
      </c>
      <c r="AH62" s="762">
        <v>1</v>
      </c>
      <c r="AI62" s="762" t="str">
        <f t="shared" ref="AI62:AI70" si="87">IF(AF62&gt;AG62,"▼",IF(AF62=AG62,"●","▲"))</f>
        <v>●</v>
      </c>
    </row>
    <row r="63" spans="1:35" s="700" customFormat="1" ht="19.5" customHeight="1" x14ac:dyDescent="0.15">
      <c r="A63" s="700" t="str">
        <f t="shared" si="86"/>
        <v>Hilti PinX-GNEA</v>
      </c>
      <c r="B63" s="864">
        <f t="shared" si="9"/>
        <v>56</v>
      </c>
      <c r="C63" s="632"/>
      <c r="D63" s="164" t="s">
        <v>476</v>
      </c>
      <c r="E63" s="165"/>
      <c r="F63" s="164" t="s">
        <v>1171</v>
      </c>
      <c r="G63" s="455" t="s">
        <v>352</v>
      </c>
      <c r="H63" s="130"/>
      <c r="I63" s="129">
        <f t="shared" si="53"/>
        <v>13</v>
      </c>
      <c r="J63" s="129">
        <f t="shared" si="54"/>
        <v>1418</v>
      </c>
      <c r="K63" s="129">
        <f t="shared" si="55"/>
        <v>40</v>
      </c>
      <c r="L63" s="129">
        <f t="shared" si="56"/>
        <v>611</v>
      </c>
      <c r="M63" s="130"/>
      <c r="N63" s="130"/>
      <c r="O63" s="130"/>
      <c r="P63" s="130"/>
      <c r="Q63" s="130"/>
      <c r="R63" s="130">
        <f t="shared" si="57"/>
        <v>13</v>
      </c>
      <c r="S63" s="130">
        <f t="shared" si="58"/>
        <v>13</v>
      </c>
      <c r="T63" s="779"/>
      <c r="U63" s="661"/>
      <c r="V63" s="700" t="str">
        <f>VLOOKUP("단가"&amp;$B:$B&amp;"번",일위!Q:Q,1,FALSE)</f>
        <v>단가56번</v>
      </c>
      <c r="X63" s="472" t="e">
        <f>VLOOKUP(A63,내역!I:I,1,FALSE)</f>
        <v>#N/A</v>
      </c>
      <c r="Y63" s="472"/>
      <c r="Z63" s="779">
        <v>1418</v>
      </c>
      <c r="AA63" s="130">
        <v>40</v>
      </c>
      <c r="AB63" s="130">
        <v>40</v>
      </c>
      <c r="AC63" s="762">
        <v>2.88</v>
      </c>
      <c r="AD63" s="773" t="str">
        <f t="shared" si="59"/>
        <v>●</v>
      </c>
      <c r="AE63" s="777">
        <v>611</v>
      </c>
      <c r="AF63" s="771">
        <v>40</v>
      </c>
      <c r="AG63" s="771">
        <v>40</v>
      </c>
      <c r="AH63" s="762">
        <v>1</v>
      </c>
      <c r="AI63" s="762" t="str">
        <f t="shared" si="87"/>
        <v>●</v>
      </c>
    </row>
    <row r="64" spans="1:35" s="700" customFormat="1" ht="19.5" customHeight="1" x14ac:dyDescent="0.15">
      <c r="A64" s="700" t="str">
        <f t="shared" si="86"/>
        <v>연마지#120매</v>
      </c>
      <c r="B64" s="864">
        <f t="shared" si="9"/>
        <v>57</v>
      </c>
      <c r="C64" s="632"/>
      <c r="D64" s="164" t="s">
        <v>477</v>
      </c>
      <c r="E64" s="165"/>
      <c r="F64" s="164" t="s">
        <v>479</v>
      </c>
      <c r="G64" s="455" t="s">
        <v>478</v>
      </c>
      <c r="H64" s="714">
        <v>200</v>
      </c>
      <c r="I64" s="129">
        <f t="shared" si="53"/>
        <v>260</v>
      </c>
      <c r="J64" s="129">
        <f t="shared" si="54"/>
        <v>1420</v>
      </c>
      <c r="K64" s="129">
        <f t="shared" si="55"/>
        <v>319</v>
      </c>
      <c r="L64" s="129">
        <f t="shared" si="56"/>
        <v>613</v>
      </c>
      <c r="M64" s="130"/>
      <c r="N64" s="130"/>
      <c r="O64" s="130"/>
      <c r="P64" s="130"/>
      <c r="Q64" s="130"/>
      <c r="R64" s="130">
        <f t="shared" si="57"/>
        <v>200</v>
      </c>
      <c r="S64" s="130">
        <f t="shared" si="58"/>
        <v>200</v>
      </c>
      <c r="T64" s="779"/>
      <c r="U64" s="661"/>
      <c r="V64" s="700" t="str">
        <f>VLOOKUP("단가"&amp;$B:$B&amp;"번",일위!Q:Q,1,FALSE)</f>
        <v>단가57번</v>
      </c>
      <c r="X64" s="472" t="e">
        <f>VLOOKUP(A64,내역!I:I,1,FALSE)</f>
        <v>#N/A</v>
      </c>
      <c r="Y64" s="472"/>
      <c r="Z64" s="779">
        <v>1420</v>
      </c>
      <c r="AA64" s="130">
        <v>260</v>
      </c>
      <c r="AB64" s="130">
        <v>260</v>
      </c>
      <c r="AC64" s="762">
        <v>1</v>
      </c>
      <c r="AD64" s="773" t="str">
        <f t="shared" si="59"/>
        <v>●</v>
      </c>
      <c r="AE64" s="777">
        <v>613</v>
      </c>
      <c r="AF64" s="771">
        <v>290</v>
      </c>
      <c r="AG64" s="771">
        <v>319</v>
      </c>
      <c r="AH64" s="762">
        <v>1</v>
      </c>
      <c r="AI64" s="762" t="str">
        <f t="shared" si="87"/>
        <v>▲</v>
      </c>
    </row>
    <row r="65" spans="1:37" s="700" customFormat="1" ht="19.5" customHeight="1" x14ac:dyDescent="0.15">
      <c r="A65" s="700" t="str">
        <f>CONCATENATE(D65,F65,G65)</f>
        <v>바퀴6"EA</v>
      </c>
      <c r="B65" s="864">
        <f t="shared" si="9"/>
        <v>58</v>
      </c>
      <c r="C65" s="632"/>
      <c r="D65" s="164" t="s">
        <v>603</v>
      </c>
      <c r="E65" s="165"/>
      <c r="F65" s="164" t="s">
        <v>604</v>
      </c>
      <c r="G65" s="455" t="s">
        <v>352</v>
      </c>
      <c r="H65" s="130"/>
      <c r="I65" s="129">
        <f t="shared" si="53"/>
        <v>9070</v>
      </c>
      <c r="J65" s="129">
        <f t="shared" si="54"/>
        <v>1430</v>
      </c>
      <c r="K65" s="129" t="str">
        <f t="shared" si="55"/>
        <v/>
      </c>
      <c r="L65" s="129">
        <f t="shared" si="56"/>
        <v>0</v>
      </c>
      <c r="M65" s="130"/>
      <c r="N65" s="130"/>
      <c r="O65" s="130"/>
      <c r="P65" s="130"/>
      <c r="Q65" s="130"/>
      <c r="R65" s="130">
        <f t="shared" si="57"/>
        <v>9070</v>
      </c>
      <c r="S65" s="130">
        <f t="shared" si="58"/>
        <v>9070</v>
      </c>
      <c r="T65" s="779"/>
      <c r="U65" s="661"/>
      <c r="V65" s="700" t="str">
        <f>VLOOKUP("단가"&amp;$B:$B&amp;"번",일위!Q:Q,1,FALSE)</f>
        <v>단가58번</v>
      </c>
      <c r="X65" s="472" t="e">
        <f>VLOOKUP(A65,내역!I:I,1,FALSE)</f>
        <v>#N/A</v>
      </c>
      <c r="Y65" s="472"/>
      <c r="Z65" s="779">
        <v>1430</v>
      </c>
      <c r="AA65" s="130">
        <v>9070</v>
      </c>
      <c r="AB65" s="130">
        <v>9070</v>
      </c>
      <c r="AC65" s="762">
        <v>1</v>
      </c>
      <c r="AD65" s="773" t="str">
        <f t="shared" si="59"/>
        <v>●</v>
      </c>
      <c r="AE65" s="780"/>
      <c r="AF65" s="130"/>
      <c r="AG65" s="130"/>
      <c r="AH65" s="762"/>
      <c r="AI65" s="762"/>
    </row>
    <row r="66" spans="1:37" s="700" customFormat="1" ht="19.5" customHeight="1" x14ac:dyDescent="0.15">
      <c r="A66" s="700" t="str">
        <f t="shared" si="86"/>
        <v>PE 필름0.1mm * 180cm * 91m㎡</v>
      </c>
      <c r="B66" s="864">
        <f t="shared" si="9"/>
        <v>59</v>
      </c>
      <c r="C66" s="632"/>
      <c r="D66" s="164" t="s">
        <v>1172</v>
      </c>
      <c r="E66" s="165"/>
      <c r="F66" s="164" t="s">
        <v>1173</v>
      </c>
      <c r="G66" s="455" t="s">
        <v>350</v>
      </c>
      <c r="H66" s="130"/>
      <c r="I66" s="129">
        <f t="shared" si="53"/>
        <v>594</v>
      </c>
      <c r="J66" s="129" t="str">
        <f t="shared" si="54"/>
        <v>18(하)</v>
      </c>
      <c r="K66" s="129" t="str">
        <f t="shared" si="55"/>
        <v/>
      </c>
      <c r="L66" s="129">
        <f t="shared" si="56"/>
        <v>0</v>
      </c>
      <c r="M66" s="130"/>
      <c r="N66" s="130"/>
      <c r="O66" s="130"/>
      <c r="P66" s="130"/>
      <c r="Q66" s="130"/>
      <c r="R66" s="130">
        <f t="shared" si="57"/>
        <v>594</v>
      </c>
      <c r="S66" s="130">
        <f t="shared" si="58"/>
        <v>594</v>
      </c>
      <c r="T66" s="779"/>
      <c r="U66" s="661"/>
      <c r="V66" s="700" t="str">
        <f>VLOOKUP("단가"&amp;$B:$B&amp;"번",일위!Q:Q,1,FALSE)</f>
        <v>단가59번</v>
      </c>
      <c r="X66" s="472" t="e">
        <f>VLOOKUP(A66,내역!I:I,1,FALSE)</f>
        <v>#N/A</v>
      </c>
      <c r="Y66" s="472"/>
      <c r="Z66" s="779" t="s">
        <v>1056</v>
      </c>
      <c r="AA66" s="820">
        <v>97380</v>
      </c>
      <c r="AB66" s="820">
        <v>97380</v>
      </c>
      <c r="AC66" s="762">
        <f>1.8*91</f>
        <v>163.80000000000001</v>
      </c>
      <c r="AD66" s="773" t="str">
        <f t="shared" si="59"/>
        <v>●</v>
      </c>
      <c r="AE66" s="780"/>
      <c r="AF66" s="820"/>
      <c r="AG66" s="820"/>
      <c r="AH66" s="762"/>
      <c r="AI66" s="762"/>
    </row>
    <row r="67" spans="1:37" s="700" customFormat="1" ht="19.5" customHeight="1" x14ac:dyDescent="0.15">
      <c r="A67" s="700" t="str">
        <f t="shared" si="86"/>
        <v>산소0.999ℓ</v>
      </c>
      <c r="B67" s="864">
        <f t="shared" si="9"/>
        <v>60</v>
      </c>
      <c r="C67" s="632"/>
      <c r="D67" s="164" t="s">
        <v>483</v>
      </c>
      <c r="E67" s="165"/>
      <c r="F67" s="164">
        <v>0.999</v>
      </c>
      <c r="G67" s="455" t="s">
        <v>360</v>
      </c>
      <c r="H67" s="130"/>
      <c r="I67" s="129">
        <f t="shared" si="53"/>
        <v>1</v>
      </c>
      <c r="J67" s="129" t="str">
        <f t="shared" si="54"/>
        <v>33(하)</v>
      </c>
      <c r="K67" s="129">
        <f t="shared" si="55"/>
        <v>1</v>
      </c>
      <c r="L67" s="129" t="str">
        <f t="shared" si="56"/>
        <v>885(2)</v>
      </c>
      <c r="M67" s="130"/>
      <c r="N67" s="130"/>
      <c r="O67" s="130"/>
      <c r="P67" s="130"/>
      <c r="Q67" s="130"/>
      <c r="R67" s="130">
        <f t="shared" si="57"/>
        <v>1</v>
      </c>
      <c r="S67" s="130">
        <f>TRUNC(R67*$T$4%,1)</f>
        <v>1</v>
      </c>
      <c r="T67" s="779"/>
      <c r="U67" s="661"/>
      <c r="V67" s="700" t="str">
        <f>VLOOKUP("단가"&amp;$B:$B&amp;"번",일위!Q:Q,1,FALSE)</f>
        <v>단가60번</v>
      </c>
      <c r="X67" s="472" t="e">
        <f>VLOOKUP(A67,내역!I:I,1,FALSE)</f>
        <v>#N/A</v>
      </c>
      <c r="Y67" s="472"/>
      <c r="Z67" s="779" t="s">
        <v>1057</v>
      </c>
      <c r="AA67" s="820">
        <v>1</v>
      </c>
      <c r="AB67" s="820">
        <v>1</v>
      </c>
      <c r="AC67" s="762">
        <v>1</v>
      </c>
      <c r="AD67" s="773" t="str">
        <f t="shared" si="59"/>
        <v>●</v>
      </c>
      <c r="AE67" s="777" t="s">
        <v>1051</v>
      </c>
      <c r="AF67" s="820">
        <v>1</v>
      </c>
      <c r="AG67" s="820">
        <v>1</v>
      </c>
      <c r="AH67" s="762">
        <v>1</v>
      </c>
      <c r="AI67" s="762" t="str">
        <f t="shared" si="87"/>
        <v>●</v>
      </c>
    </row>
    <row r="68" spans="1:37" s="700" customFormat="1" ht="19.5" customHeight="1" x14ac:dyDescent="0.15">
      <c r="A68" s="700" t="str">
        <f t="shared" si="86"/>
        <v>아세틸렌0.98Kg</v>
      </c>
      <c r="B68" s="864">
        <f t="shared" si="9"/>
        <v>61</v>
      </c>
      <c r="C68" s="632"/>
      <c r="D68" s="164" t="s">
        <v>480</v>
      </c>
      <c r="E68" s="165"/>
      <c r="F68" s="164">
        <v>0.98</v>
      </c>
      <c r="G68" s="455" t="s">
        <v>357</v>
      </c>
      <c r="H68" s="714">
        <v>10450</v>
      </c>
      <c r="I68" s="129">
        <f t="shared" si="53"/>
        <v>11000</v>
      </c>
      <c r="J68" s="129" t="str">
        <f t="shared" si="54"/>
        <v>33(하)</v>
      </c>
      <c r="K68" s="129">
        <f t="shared" si="55"/>
        <v>13000</v>
      </c>
      <c r="L68" s="129" t="str">
        <f t="shared" si="56"/>
        <v>885(2)</v>
      </c>
      <c r="M68" s="130"/>
      <c r="N68" s="130"/>
      <c r="O68" s="130"/>
      <c r="P68" s="130"/>
      <c r="Q68" s="130"/>
      <c r="R68" s="130">
        <f t="shared" si="57"/>
        <v>10450</v>
      </c>
      <c r="S68" s="130">
        <f t="shared" ref="S68:S71" si="88">TRUNC(R68*$T$4%)</f>
        <v>10450</v>
      </c>
      <c r="T68" s="779"/>
      <c r="U68" s="661"/>
      <c r="V68" s="700" t="str">
        <f>VLOOKUP("단가"&amp;$B:$B&amp;"번",일위!Q:Q,1,FALSE)</f>
        <v>단가61번</v>
      </c>
      <c r="X68" s="472" t="e">
        <f>VLOOKUP(A68,내역!I:I,1,FALSE)</f>
        <v>#N/A</v>
      </c>
      <c r="Y68" s="472"/>
      <c r="Z68" s="779" t="s">
        <v>1057</v>
      </c>
      <c r="AA68" s="820">
        <v>11000</v>
      </c>
      <c r="AB68" s="820">
        <v>11000</v>
      </c>
      <c r="AC68" s="762">
        <v>1</v>
      </c>
      <c r="AD68" s="773" t="str">
        <f t="shared" si="59"/>
        <v>●</v>
      </c>
      <c r="AE68" s="777" t="s">
        <v>1051</v>
      </c>
      <c r="AF68" s="820">
        <v>13000</v>
      </c>
      <c r="AG68" s="820">
        <v>13000</v>
      </c>
      <c r="AH68" s="762">
        <v>1</v>
      </c>
      <c r="AI68" s="762" t="str">
        <f t="shared" si="87"/>
        <v>●</v>
      </c>
    </row>
    <row r="69" spans="1:37" s="700" customFormat="1" ht="19.5" customHeight="1" x14ac:dyDescent="0.15">
      <c r="A69" s="700" t="str">
        <f t="shared" ref="A69:A72" si="89">CONCATENATE(D69,F69,G69)</f>
        <v>철강설철강설, 고철, 작업설부산물Kg</v>
      </c>
      <c r="B69" s="864">
        <f t="shared" si="9"/>
        <v>62</v>
      </c>
      <c r="C69" s="632"/>
      <c r="D69" s="164" t="s">
        <v>526</v>
      </c>
      <c r="E69" s="165"/>
      <c r="F69" s="164" t="s">
        <v>527</v>
      </c>
      <c r="G69" s="455" t="s">
        <v>357</v>
      </c>
      <c r="H69" s="130">
        <v>-240</v>
      </c>
      <c r="I69" s="129">
        <f>IF(AB69=0,"",TRUNC(AB69/AC69,0))</f>
        <v>200</v>
      </c>
      <c r="J69" s="129" t="str">
        <f t="shared" ref="J69:J71" si="90">Z69</f>
        <v>47(하)</v>
      </c>
      <c r="K69" s="129">
        <f t="shared" ref="K69:K75" si="91">IF(AG69=0,"",TRUNC(AG69/AH69,0))</f>
        <v>195</v>
      </c>
      <c r="L69" s="129" t="str">
        <f t="shared" ref="L69:L76" si="92">AE69</f>
        <v>971(2)</v>
      </c>
      <c r="M69" s="130"/>
      <c r="N69" s="130"/>
      <c r="O69" s="130"/>
      <c r="P69" s="130"/>
      <c r="Q69" s="130"/>
      <c r="R69" s="130">
        <f t="shared" ref="R69:R71" si="93">TRUNC(MIN(H69,I69,K69,M69,N69,O69,P69,Q69))</f>
        <v>-240</v>
      </c>
      <c r="S69" s="130">
        <f t="shared" si="88"/>
        <v>-240</v>
      </c>
      <c r="T69" s="779"/>
      <c r="U69" s="661"/>
      <c r="V69" s="700" t="str">
        <f>VLOOKUP("단가"&amp;$B:$B&amp;"번",일위!Q:Q,1,FALSE)</f>
        <v>단가62번</v>
      </c>
      <c r="X69" s="472" t="e">
        <f>VLOOKUP(A69,내역!I:I,1,FALSE)</f>
        <v>#N/A</v>
      </c>
      <c r="Y69" s="472"/>
      <c r="Z69" s="779" t="s">
        <v>1058</v>
      </c>
      <c r="AA69" s="820">
        <v>260</v>
      </c>
      <c r="AB69" s="820">
        <v>200</v>
      </c>
      <c r="AC69" s="762">
        <v>1</v>
      </c>
      <c r="AD69" s="773" t="str">
        <f t="shared" ref="AD69:AD71" si="94">IF(AA69&gt;AB69,"▼",IF(AA69=AB69,"●","▲"))</f>
        <v>▼</v>
      </c>
      <c r="AE69" s="777" t="s">
        <v>1052</v>
      </c>
      <c r="AF69" s="820">
        <v>190</v>
      </c>
      <c r="AG69" s="820">
        <v>195</v>
      </c>
      <c r="AH69" s="762">
        <v>1</v>
      </c>
      <c r="AI69" s="762" t="str">
        <f t="shared" si="87"/>
        <v>▲</v>
      </c>
    </row>
    <row r="70" spans="1:37" s="700" customFormat="1" ht="19.5" customHeight="1" x14ac:dyDescent="0.15">
      <c r="A70" s="700" t="str">
        <f t="shared" si="89"/>
        <v>청면TAPE폭5cm*10m/roll m</v>
      </c>
      <c r="B70" s="864">
        <f t="shared" si="9"/>
        <v>63</v>
      </c>
      <c r="C70" s="632"/>
      <c r="D70" s="164" t="s">
        <v>481</v>
      </c>
      <c r="E70" s="165"/>
      <c r="F70" s="164" t="s">
        <v>482</v>
      </c>
      <c r="G70" s="455" t="s">
        <v>351</v>
      </c>
      <c r="H70" s="130"/>
      <c r="I70" s="129">
        <f>IF(AB70=0,"",TRUNC(AB70/AC70,0))</f>
        <v>120</v>
      </c>
      <c r="J70" s="129" t="str">
        <f t="shared" si="90"/>
        <v>50(하)</v>
      </c>
      <c r="K70" s="129">
        <f t="shared" si="91"/>
        <v>77</v>
      </c>
      <c r="L70" s="129" t="str">
        <f t="shared" si="92"/>
        <v>953(2)</v>
      </c>
      <c r="M70" s="130"/>
      <c r="N70" s="130"/>
      <c r="O70" s="130"/>
      <c r="P70" s="130"/>
      <c r="Q70" s="130"/>
      <c r="R70" s="130">
        <f t="shared" si="93"/>
        <v>77</v>
      </c>
      <c r="S70" s="130">
        <f t="shared" si="88"/>
        <v>77</v>
      </c>
      <c r="T70" s="779"/>
      <c r="U70" s="661"/>
      <c r="V70" s="700" t="str">
        <f>VLOOKUP("단가"&amp;$B:$B&amp;"번",일위!Q:Q,1,FALSE)</f>
        <v>단가63번</v>
      </c>
      <c r="X70" s="472" t="e">
        <f>VLOOKUP(A70,내역!I:I,1,FALSE)</f>
        <v>#N/A</v>
      </c>
      <c r="Y70" s="472"/>
      <c r="Z70" s="779" t="s">
        <v>1059</v>
      </c>
      <c r="AA70" s="820">
        <v>1200</v>
      </c>
      <c r="AB70" s="820">
        <v>1200</v>
      </c>
      <c r="AC70" s="762">
        <v>10</v>
      </c>
      <c r="AD70" s="773" t="str">
        <f t="shared" si="94"/>
        <v>●</v>
      </c>
      <c r="AE70" s="777" t="s">
        <v>1053</v>
      </c>
      <c r="AF70" s="820">
        <v>700</v>
      </c>
      <c r="AG70" s="820">
        <v>700</v>
      </c>
      <c r="AH70" s="762">
        <v>9</v>
      </c>
      <c r="AI70" s="762" t="str">
        <f t="shared" si="87"/>
        <v>●</v>
      </c>
    </row>
    <row r="71" spans="1:37" s="700" customFormat="1" ht="19.5" customHeight="1" x14ac:dyDescent="0.15">
      <c r="A71" s="700" t="str">
        <f t="shared" si="89"/>
        <v>발판45*200*2,000장</v>
      </c>
      <c r="B71" s="864">
        <f t="shared" si="9"/>
        <v>64</v>
      </c>
      <c r="C71" s="632"/>
      <c r="D71" s="164" t="s">
        <v>609</v>
      </c>
      <c r="E71" s="165"/>
      <c r="F71" s="164" t="s">
        <v>610</v>
      </c>
      <c r="G71" s="455" t="s">
        <v>611</v>
      </c>
      <c r="H71" s="130"/>
      <c r="I71" s="129">
        <f>IF(AB71=0,"",TRUNC(AB71/AC71,0))</f>
        <v>25500</v>
      </c>
      <c r="J71" s="129" t="str">
        <f t="shared" si="90"/>
        <v>적39</v>
      </c>
      <c r="K71" s="129" t="str">
        <f t="shared" si="91"/>
        <v/>
      </c>
      <c r="L71" s="129">
        <f t="shared" si="92"/>
        <v>0</v>
      </c>
      <c r="M71" s="130"/>
      <c r="N71" s="130"/>
      <c r="O71" s="130"/>
      <c r="P71" s="130"/>
      <c r="Q71" s="130"/>
      <c r="R71" s="130">
        <f t="shared" si="93"/>
        <v>25500</v>
      </c>
      <c r="S71" s="130">
        <f t="shared" si="88"/>
        <v>25500</v>
      </c>
      <c r="T71" s="779" t="s">
        <v>1174</v>
      </c>
      <c r="U71" s="661"/>
      <c r="V71" s="700" t="str">
        <f>VLOOKUP("단가"&amp;$B:$B&amp;"번",일위!Q:Q,1,FALSE)</f>
        <v>단가64번</v>
      </c>
      <c r="X71" s="472" t="e">
        <f>VLOOKUP(A71,내역!I:I,1,FALSE)</f>
        <v>#N/A</v>
      </c>
      <c r="Y71" s="472"/>
      <c r="Z71" s="779" t="s">
        <v>1175</v>
      </c>
      <c r="AA71" s="820">
        <v>25500</v>
      </c>
      <c r="AB71" s="820">
        <v>25500</v>
      </c>
      <c r="AC71" s="762">
        <v>1</v>
      </c>
      <c r="AD71" s="773" t="str">
        <f t="shared" si="94"/>
        <v>●</v>
      </c>
      <c r="AE71" s="777"/>
      <c r="AF71" s="820"/>
      <c r="AG71" s="820"/>
      <c r="AH71" s="762"/>
      <c r="AI71" s="762"/>
    </row>
    <row r="72" spans="1:37" s="700" customFormat="1" ht="19.5" customHeight="1" x14ac:dyDescent="0.15">
      <c r="A72" s="700" t="str">
        <f t="shared" si="89"/>
        <v>각파이프30*30*1.4TKg</v>
      </c>
      <c r="B72" s="864">
        <f t="shared" si="9"/>
        <v>65</v>
      </c>
      <c r="C72" s="632"/>
      <c r="D72" s="164" t="s">
        <v>434</v>
      </c>
      <c r="E72" s="165"/>
      <c r="F72" s="164" t="s">
        <v>528</v>
      </c>
      <c r="G72" s="455" t="s">
        <v>357</v>
      </c>
      <c r="H72" s="130"/>
      <c r="I72" s="130"/>
      <c r="J72" s="129"/>
      <c r="K72" s="129">
        <f t="shared" si="91"/>
        <v>1110</v>
      </c>
      <c r="L72" s="129">
        <f t="shared" si="92"/>
        <v>91</v>
      </c>
      <c r="M72" s="130"/>
      <c r="N72" s="130"/>
      <c r="O72" s="130"/>
      <c r="P72" s="130"/>
      <c r="Q72" s="130"/>
      <c r="R72" s="130">
        <f t="shared" ref="R72:R75" si="95">TRUNC(MIN(H72,I72,K72,M72,N72,O72,P72,Q72))</f>
        <v>1110</v>
      </c>
      <c r="S72" s="130">
        <f t="shared" ref="S72:S74" si="96">TRUNC(R72*$T$4%)</f>
        <v>1110</v>
      </c>
      <c r="T72" s="779"/>
      <c r="U72" s="661"/>
      <c r="V72" s="700" t="str">
        <f>VLOOKUP("단가"&amp;$B:$B&amp;"번",일위!Q:Q,1,FALSE)</f>
        <v>단가65번</v>
      </c>
      <c r="X72" s="472" t="e">
        <f>VLOOKUP(A72,내역!I:I,1,FALSE)</f>
        <v>#N/A</v>
      </c>
      <c r="Y72" s="472"/>
      <c r="Z72" s="779"/>
      <c r="AA72" s="820"/>
      <c r="AB72" s="820"/>
      <c r="AC72" s="762"/>
      <c r="AD72" s="773"/>
      <c r="AE72" s="777">
        <v>91</v>
      </c>
      <c r="AF72" s="820">
        <v>1424</v>
      </c>
      <c r="AG72" s="820">
        <v>1353</v>
      </c>
      <c r="AH72" s="784">
        <v>1.218</v>
      </c>
      <c r="AI72" s="762" t="str">
        <f t="shared" ref="AI72:AI76" si="97">IF(AF72&gt;AG72,"▼",IF(AF72=AG72,"●","▲"))</f>
        <v>▼</v>
      </c>
    </row>
    <row r="73" spans="1:37" s="700" customFormat="1" ht="19.5" customHeight="1" x14ac:dyDescent="0.15">
      <c r="A73" s="700" t="str">
        <f t="shared" ref="A73:A75" si="98">CONCATENATE(D73,F73,G73)</f>
        <v>폐자재 수집, 운반비30Km 이하ton</v>
      </c>
      <c r="B73" s="864">
        <f t="shared" si="9"/>
        <v>66</v>
      </c>
      <c r="C73" s="632"/>
      <c r="D73" s="164" t="s">
        <v>529</v>
      </c>
      <c r="E73" s="165"/>
      <c r="F73" s="164" t="s">
        <v>530</v>
      </c>
      <c r="G73" s="455" t="s">
        <v>505</v>
      </c>
      <c r="H73" s="130"/>
      <c r="I73" s="130"/>
      <c r="J73" s="129"/>
      <c r="K73" s="129">
        <f t="shared" si="91"/>
        <v>40900</v>
      </c>
      <c r="L73" s="129" t="str">
        <f t="shared" si="92"/>
        <v>200(부)</v>
      </c>
      <c r="M73" s="130"/>
      <c r="N73" s="130"/>
      <c r="O73" s="130"/>
      <c r="P73" s="130"/>
      <c r="Q73" s="130"/>
      <c r="R73" s="130">
        <f t="shared" si="95"/>
        <v>40900</v>
      </c>
      <c r="S73" s="130">
        <f t="shared" si="96"/>
        <v>40900</v>
      </c>
      <c r="T73" s="779"/>
      <c r="U73" s="661"/>
      <c r="V73" s="700" t="e">
        <f>VLOOKUP("단가"&amp;$B:$B&amp;"번",일위!Q:Q,1,FALSE)</f>
        <v>#N/A</v>
      </c>
      <c r="X73" s="472" t="str">
        <f>VLOOKUP(A73,내역!I:I,1,FALSE)</f>
        <v>폐자재 수집, 운반비30Km 이하ton</v>
      </c>
      <c r="Y73" s="472"/>
      <c r="Z73" s="779"/>
      <c r="AA73" s="820"/>
      <c r="AB73" s="820"/>
      <c r="AC73" s="762"/>
      <c r="AD73" s="773"/>
      <c r="AE73" s="777" t="s">
        <v>1054</v>
      </c>
      <c r="AF73" s="129">
        <v>40900</v>
      </c>
      <c r="AG73" s="129">
        <v>40900</v>
      </c>
      <c r="AH73" s="762">
        <v>1</v>
      </c>
      <c r="AI73" s="762" t="str">
        <f t="shared" si="97"/>
        <v>●</v>
      </c>
    </row>
    <row r="74" spans="1:37" s="700" customFormat="1" ht="19.5" customHeight="1" x14ac:dyDescent="0.15">
      <c r="A74" s="700" t="str">
        <f t="shared" si="98"/>
        <v>폐자재 처리비ton</v>
      </c>
      <c r="B74" s="864">
        <f t="shared" ref="B74:B131" si="99">B73+1</f>
        <v>67</v>
      </c>
      <c r="C74" s="632"/>
      <c r="D74" s="164" t="s">
        <v>531</v>
      </c>
      <c r="E74" s="165"/>
      <c r="F74" s="164"/>
      <c r="G74" s="455" t="s">
        <v>505</v>
      </c>
      <c r="H74" s="130"/>
      <c r="I74" s="130"/>
      <c r="J74" s="129"/>
      <c r="K74" s="129">
        <f t="shared" si="91"/>
        <v>100800</v>
      </c>
      <c r="L74" s="129" t="str">
        <f t="shared" si="92"/>
        <v>200(부)</v>
      </c>
      <c r="M74" s="130"/>
      <c r="N74" s="130"/>
      <c r="O74" s="130"/>
      <c r="P74" s="130"/>
      <c r="Q74" s="130"/>
      <c r="R74" s="130">
        <f t="shared" si="95"/>
        <v>100800</v>
      </c>
      <c r="S74" s="130">
        <f t="shared" si="96"/>
        <v>100800</v>
      </c>
      <c r="T74" s="779"/>
      <c r="U74" s="661"/>
      <c r="V74" s="700" t="e">
        <f>VLOOKUP("단가"&amp;$B:$B&amp;"번",일위!Q:Q,1,FALSE)</f>
        <v>#N/A</v>
      </c>
      <c r="X74" s="472" t="str">
        <f>VLOOKUP(A74,내역!I:I,1,FALSE)</f>
        <v>폐자재 처리비ton</v>
      </c>
      <c r="Y74" s="472"/>
      <c r="Z74" s="779"/>
      <c r="AA74" s="820"/>
      <c r="AB74" s="820"/>
      <c r="AC74" s="762"/>
      <c r="AD74" s="773"/>
      <c r="AE74" s="777" t="s">
        <v>1054</v>
      </c>
      <c r="AF74" s="771">
        <v>100800</v>
      </c>
      <c r="AG74" s="771">
        <v>100800</v>
      </c>
      <c r="AH74" s="762">
        <v>1</v>
      </c>
      <c r="AI74" s="762" t="str">
        <f t="shared" si="97"/>
        <v>●</v>
      </c>
    </row>
    <row r="75" spans="1:37" s="700" customFormat="1" ht="19.5" customHeight="1" x14ac:dyDescent="0.15">
      <c r="A75" s="700" t="str">
        <f t="shared" si="98"/>
        <v>전력KWH</v>
      </c>
      <c r="B75" s="864">
        <f t="shared" si="99"/>
        <v>68</v>
      </c>
      <c r="C75" s="632"/>
      <c r="D75" s="164" t="s">
        <v>575</v>
      </c>
      <c r="E75" s="165"/>
      <c r="F75" s="164"/>
      <c r="G75" s="455" t="s">
        <v>576</v>
      </c>
      <c r="H75" s="130"/>
      <c r="I75" s="130"/>
      <c r="J75" s="129"/>
      <c r="K75" s="129">
        <f t="shared" si="91"/>
        <v>87</v>
      </c>
      <c r="L75" s="129" t="str">
        <f t="shared" si="92"/>
        <v>206(부)</v>
      </c>
      <c r="M75" s="130"/>
      <c r="N75" s="130"/>
      <c r="O75" s="130"/>
      <c r="P75" s="130"/>
      <c r="Q75" s="130"/>
      <c r="R75" s="130">
        <f t="shared" si="95"/>
        <v>87</v>
      </c>
      <c r="S75" s="130">
        <f t="shared" ref="S75:S76" si="100">TRUNC(R75*$T$4%)</f>
        <v>87</v>
      </c>
      <c r="T75" s="779"/>
      <c r="U75" s="661"/>
      <c r="V75" s="700" t="str">
        <f>VLOOKUP("단가"&amp;$B:$B&amp;"번",일위!Q:Q,1,FALSE)</f>
        <v>단가68번</v>
      </c>
      <c r="X75" s="472" t="e">
        <f>VLOOKUP(A75,내역!I:I,1,FALSE)</f>
        <v>#N/A</v>
      </c>
      <c r="Y75" s="472"/>
      <c r="Z75" s="779"/>
      <c r="AA75" s="820"/>
      <c r="AB75" s="820"/>
      <c r="AC75" s="762"/>
      <c r="AD75" s="773"/>
      <c r="AE75" s="777" t="s">
        <v>1055</v>
      </c>
      <c r="AF75" s="820">
        <v>263.2</v>
      </c>
      <c r="AG75" s="820">
        <v>263.2</v>
      </c>
      <c r="AH75" s="762">
        <v>3</v>
      </c>
      <c r="AI75" s="762" t="str">
        <f t="shared" si="97"/>
        <v>●</v>
      </c>
    </row>
    <row r="76" spans="1:37" s="700" customFormat="1" ht="19.5" customHeight="1" x14ac:dyDescent="0.15">
      <c r="A76" s="700" t="str">
        <f t="shared" ref="A76" si="101">CONCATENATE(D76,F76,G76)</f>
        <v>접착제합판용Kg</v>
      </c>
      <c r="B76" s="864">
        <f t="shared" si="99"/>
        <v>69</v>
      </c>
      <c r="C76" s="632"/>
      <c r="D76" s="164" t="s">
        <v>365</v>
      </c>
      <c r="E76" s="165"/>
      <c r="F76" s="164" t="s">
        <v>489</v>
      </c>
      <c r="G76" s="455" t="s">
        <v>357</v>
      </c>
      <c r="H76" s="130"/>
      <c r="I76" s="130"/>
      <c r="J76" s="129"/>
      <c r="K76" s="129">
        <f t="shared" ref="K76:K77" si="102">IF(AG76=0,"",TRUNC(AG76/AH76,0))</f>
        <v>10500</v>
      </c>
      <c r="L76" s="129" t="str">
        <f t="shared" si="92"/>
        <v>253(2)</v>
      </c>
      <c r="M76" s="130"/>
      <c r="N76" s="130"/>
      <c r="O76" s="130"/>
      <c r="P76" s="130"/>
      <c r="Q76" s="130"/>
      <c r="R76" s="130">
        <f t="shared" ref="R76" si="103">TRUNC(MIN(H76,I76,K76,M76,N76,O76,P76,Q76))</f>
        <v>10500</v>
      </c>
      <c r="S76" s="130">
        <f t="shared" si="100"/>
        <v>10500</v>
      </c>
      <c r="T76" s="779"/>
      <c r="U76" s="661"/>
      <c r="V76" s="700" t="str">
        <f>VLOOKUP("단가"&amp;$B:$B&amp;"번",일위!Q:Q,1,FALSE)</f>
        <v>단가69번</v>
      </c>
      <c r="X76" s="472" t="e">
        <f>VLOOKUP(A76,내역!I:I,1,FALSE)</f>
        <v>#N/A</v>
      </c>
      <c r="Y76" s="472"/>
      <c r="Z76" s="779"/>
      <c r="AA76" s="820"/>
      <c r="AB76" s="820"/>
      <c r="AC76" s="762"/>
      <c r="AD76" s="773"/>
      <c r="AE76" s="777" t="s">
        <v>1176</v>
      </c>
      <c r="AF76" s="820">
        <v>10500</v>
      </c>
      <c r="AG76" s="820">
        <v>10500</v>
      </c>
      <c r="AH76" s="762">
        <v>1</v>
      </c>
      <c r="AI76" s="762" t="str">
        <f t="shared" si="97"/>
        <v>●</v>
      </c>
    </row>
    <row r="77" spans="1:37" s="700" customFormat="1" ht="19.5" customHeight="1" x14ac:dyDescent="0.15">
      <c r="A77" s="700" t="str">
        <f t="shared" ref="A77" si="104">CONCATENATE(D77,F77,G77)</f>
        <v>용접기교류 500AMPHR</v>
      </c>
      <c r="B77" s="864">
        <f t="shared" si="99"/>
        <v>70</v>
      </c>
      <c r="C77" s="632"/>
      <c r="D77" s="164" t="s">
        <v>484</v>
      </c>
      <c r="E77" s="165"/>
      <c r="F77" s="164" t="s">
        <v>485</v>
      </c>
      <c r="G77" s="455" t="s">
        <v>366</v>
      </c>
      <c r="H77" s="130"/>
      <c r="I77" s="130"/>
      <c r="J77" s="129"/>
      <c r="K77" s="129">
        <f t="shared" si="102"/>
        <v>124</v>
      </c>
      <c r="L77" s="129" t="str">
        <f t="shared" ref="L77" si="105">AE77</f>
        <v>적685</v>
      </c>
      <c r="M77" s="130"/>
      <c r="N77" s="130"/>
      <c r="O77" s="130"/>
      <c r="P77" s="130"/>
      <c r="Q77" s="130"/>
      <c r="R77" s="130">
        <f t="shared" ref="R77" si="106">TRUNC(MIN(H77,I77,K77,M77,N77,O77,P77,Q77))</f>
        <v>124</v>
      </c>
      <c r="S77" s="130">
        <f t="shared" ref="S77:S79" si="107">TRUNC(R77*$T$4%)</f>
        <v>124</v>
      </c>
      <c r="T77" s="779"/>
      <c r="U77" s="661"/>
      <c r="V77" s="700" t="str">
        <f>VLOOKUP("단가"&amp;$B:$B&amp;"번",일위!Q:Q,1,FALSE)</f>
        <v>단가70번</v>
      </c>
      <c r="X77" s="472" t="e">
        <f>VLOOKUP(A77,내역!I:I,1,FALSE)</f>
        <v>#N/A</v>
      </c>
      <c r="Y77" s="472"/>
      <c r="Z77" s="779"/>
      <c r="AA77" s="820"/>
      <c r="AB77" s="820"/>
      <c r="AC77" s="762"/>
      <c r="AD77" s="773"/>
      <c r="AE77" s="777" t="s">
        <v>1177</v>
      </c>
      <c r="AF77" s="820">
        <v>124.7</v>
      </c>
      <c r="AG77" s="820">
        <v>124.7</v>
      </c>
      <c r="AH77" s="762">
        <v>1</v>
      </c>
      <c r="AI77" s="762" t="str">
        <f t="shared" ref="AI77" si="108">IF(AF77&gt;AG77,"▼",IF(AF77=AG77,"●","▲"))</f>
        <v>●</v>
      </c>
    </row>
    <row r="78" spans="1:37" s="700" customFormat="1" ht="19.5" customHeight="1" x14ac:dyDescent="0.15">
      <c r="A78" s="700" t="str">
        <f t="shared" ref="A78" si="109">CONCATENATE(D78,F78,G78)</f>
        <v>LOUVER 몰딩100*100m</v>
      </c>
      <c r="B78" s="864">
        <f t="shared" si="99"/>
        <v>71</v>
      </c>
      <c r="C78" s="632"/>
      <c r="D78" s="164" t="s">
        <v>472</v>
      </c>
      <c r="E78" s="165"/>
      <c r="F78" s="164" t="s">
        <v>473</v>
      </c>
      <c r="G78" s="455" t="s">
        <v>351</v>
      </c>
      <c r="H78" s="130"/>
      <c r="I78" s="130"/>
      <c r="J78" s="129"/>
      <c r="K78" s="129"/>
      <c r="L78" s="129"/>
      <c r="M78" s="130">
        <v>2000</v>
      </c>
      <c r="N78" s="130">
        <v>2500</v>
      </c>
      <c r="O78" s="130"/>
      <c r="P78" s="130"/>
      <c r="Q78" s="130"/>
      <c r="R78" s="130">
        <f t="shared" ref="R78:R82" si="110">TRUNC(MIN(H78,I78,K78,M78,N78,O78,P78,Q78))</f>
        <v>2000</v>
      </c>
      <c r="S78" s="130">
        <f t="shared" si="107"/>
        <v>2000</v>
      </c>
      <c r="T78" s="779"/>
      <c r="U78" s="661"/>
      <c r="V78" s="700" t="str">
        <f>VLOOKUP("단가"&amp;$B:$B&amp;"번",일위!Q:Q,1,FALSE)</f>
        <v>단가71번</v>
      </c>
      <c r="X78" s="472" t="e">
        <f>VLOOKUP(A78,내역!I:I,1,FALSE)</f>
        <v>#N/A</v>
      </c>
      <c r="Y78" s="472"/>
      <c r="Z78" s="779"/>
      <c r="AA78" s="820"/>
      <c r="AB78" s="820"/>
      <c r="AC78" s="762"/>
      <c r="AD78" s="773"/>
      <c r="AE78" s="780"/>
      <c r="AF78" s="820"/>
      <c r="AG78" s="820"/>
      <c r="AH78" s="762"/>
      <c r="AI78" s="762"/>
      <c r="AK78" s="700" t="s">
        <v>1446</v>
      </c>
    </row>
    <row r="79" spans="1:37" s="700" customFormat="1" ht="19.5" customHeight="1" x14ac:dyDescent="0.15">
      <c r="A79" s="700" t="str">
        <f t="shared" ref="A79" si="111">CONCATENATE(D79,F79,G79)</f>
        <v>각파이프구조틀보강철물EA</v>
      </c>
      <c r="B79" s="864">
        <f t="shared" si="99"/>
        <v>72</v>
      </c>
      <c r="C79" s="632"/>
      <c r="D79" s="164" t="s">
        <v>490</v>
      </c>
      <c r="E79" s="165"/>
      <c r="F79" s="164"/>
      <c r="G79" s="455" t="s">
        <v>352</v>
      </c>
      <c r="H79" s="130"/>
      <c r="I79" s="130"/>
      <c r="J79" s="129"/>
      <c r="K79" s="129"/>
      <c r="L79" s="129"/>
      <c r="M79" s="130">
        <v>1500</v>
      </c>
      <c r="N79" s="130">
        <v>1600</v>
      </c>
      <c r="O79" s="130"/>
      <c r="P79" s="130"/>
      <c r="Q79" s="130"/>
      <c r="R79" s="130">
        <f t="shared" si="110"/>
        <v>1500</v>
      </c>
      <c r="S79" s="130">
        <f t="shared" si="107"/>
        <v>1500</v>
      </c>
      <c r="T79" s="779"/>
      <c r="U79" s="661"/>
      <c r="V79" s="700" t="str">
        <f>VLOOKUP("단가"&amp;$B:$B&amp;"번",일위!Q:Q,1,FALSE)</f>
        <v>단가72번</v>
      </c>
      <c r="X79" s="472" t="e">
        <f>VLOOKUP(A79,내역!I:I,1,FALSE)</f>
        <v>#N/A</v>
      </c>
      <c r="Y79" s="472"/>
      <c r="Z79" s="779"/>
      <c r="AA79" s="820"/>
      <c r="AB79" s="820"/>
      <c r="AC79" s="762"/>
      <c r="AD79" s="773"/>
      <c r="AE79" s="780"/>
      <c r="AF79" s="820"/>
      <c r="AG79" s="820"/>
      <c r="AH79" s="762"/>
      <c r="AI79" s="762"/>
      <c r="AK79" s="700" t="s">
        <v>1446</v>
      </c>
    </row>
    <row r="80" spans="1:37" s="700" customFormat="1" ht="19.5" customHeight="1" x14ac:dyDescent="0.15">
      <c r="A80" s="700" t="str">
        <f t="shared" ref="A80" si="112">CONCATENATE(D80,F80,G80)</f>
        <v>미네랄스피릿ℓ</v>
      </c>
      <c r="B80" s="864">
        <f t="shared" si="99"/>
        <v>73</v>
      </c>
      <c r="C80" s="632"/>
      <c r="D80" s="164" t="s">
        <v>491</v>
      </c>
      <c r="E80" s="165"/>
      <c r="F80" s="164"/>
      <c r="G80" s="455" t="s">
        <v>360</v>
      </c>
      <c r="H80" s="130"/>
      <c r="I80" s="130"/>
      <c r="J80" s="129"/>
      <c r="K80" s="129"/>
      <c r="L80" s="129"/>
      <c r="M80" s="130">
        <v>2500</v>
      </c>
      <c r="N80" s="130">
        <v>2700</v>
      </c>
      <c r="O80" s="130"/>
      <c r="P80" s="130"/>
      <c r="Q80" s="130"/>
      <c r="R80" s="130">
        <f t="shared" si="110"/>
        <v>2500</v>
      </c>
      <c r="S80" s="130">
        <f t="shared" ref="S80:S84" si="113">TRUNC(R80*$T$4%)</f>
        <v>2500</v>
      </c>
      <c r="T80" s="779"/>
      <c r="U80" s="661"/>
      <c r="V80" s="700" t="str">
        <f>VLOOKUP("단가"&amp;$B:$B&amp;"번",일위!Q:Q,1,FALSE)</f>
        <v>단가73번</v>
      </c>
      <c r="X80" s="472" t="e">
        <f>VLOOKUP(A80,내역!I:I,1,FALSE)</f>
        <v>#N/A</v>
      </c>
      <c r="Y80" s="472"/>
      <c r="Z80" s="779"/>
      <c r="AA80" s="820"/>
      <c r="AB80" s="820"/>
      <c r="AC80" s="762"/>
      <c r="AD80" s="773"/>
      <c r="AE80" s="780"/>
      <c r="AF80" s="820"/>
      <c r="AG80" s="820"/>
      <c r="AH80" s="762"/>
      <c r="AI80" s="762"/>
      <c r="AK80" s="700" t="s">
        <v>1447</v>
      </c>
    </row>
    <row r="81" spans="1:37" s="700" customFormat="1" ht="19.5" customHeight="1" x14ac:dyDescent="0.15">
      <c r="A81" s="700" t="str">
        <f t="shared" ref="A81:A82" si="114">CONCATENATE(D81,F81,G81)</f>
        <v>석면테이프m</v>
      </c>
      <c r="B81" s="864">
        <f t="shared" si="99"/>
        <v>74</v>
      </c>
      <c r="C81" s="632"/>
      <c r="D81" s="164" t="s">
        <v>492</v>
      </c>
      <c r="E81" s="165"/>
      <c r="F81" s="164"/>
      <c r="G81" s="455" t="s">
        <v>351</v>
      </c>
      <c r="H81" s="130"/>
      <c r="I81" s="130"/>
      <c r="J81" s="129"/>
      <c r="K81" s="129"/>
      <c r="L81" s="129"/>
      <c r="M81" s="130">
        <v>367</v>
      </c>
      <c r="N81" s="130">
        <v>370</v>
      </c>
      <c r="O81" s="130"/>
      <c r="P81" s="130"/>
      <c r="Q81" s="130"/>
      <c r="R81" s="130">
        <f t="shared" si="110"/>
        <v>367</v>
      </c>
      <c r="S81" s="130">
        <f t="shared" si="113"/>
        <v>367</v>
      </c>
      <c r="T81" s="779"/>
      <c r="U81" s="661"/>
      <c r="V81" s="700" t="str">
        <f>VLOOKUP("단가"&amp;$B:$B&amp;"번",일위!Q:Q,1,FALSE)</f>
        <v>단가74번</v>
      </c>
      <c r="X81" s="472" t="e">
        <f>VLOOKUP(A81,내역!I:I,1,FALSE)</f>
        <v>#N/A</v>
      </c>
      <c r="Y81" s="472"/>
      <c r="Z81" s="779"/>
      <c r="AA81" s="820"/>
      <c r="AB81" s="820"/>
      <c r="AC81" s="762"/>
      <c r="AD81" s="773"/>
      <c r="AE81" s="780"/>
      <c r="AF81" s="820"/>
      <c r="AG81" s="820"/>
      <c r="AH81" s="762"/>
      <c r="AI81" s="762"/>
      <c r="AK81" s="700" t="s">
        <v>1447</v>
      </c>
    </row>
    <row r="82" spans="1:37" s="700" customFormat="1" ht="19.5" customHeight="1" x14ac:dyDescent="0.15">
      <c r="A82" s="700" t="str">
        <f t="shared" si="114"/>
        <v>셸락니스ℓ</v>
      </c>
      <c r="B82" s="864">
        <f t="shared" si="99"/>
        <v>75</v>
      </c>
      <c r="C82" s="632"/>
      <c r="D82" s="164" t="s">
        <v>486</v>
      </c>
      <c r="E82" s="165"/>
      <c r="F82" s="164"/>
      <c r="G82" s="455" t="s">
        <v>360</v>
      </c>
      <c r="H82" s="130"/>
      <c r="I82" s="130"/>
      <c r="J82" s="129"/>
      <c r="K82" s="129"/>
      <c r="L82" s="129"/>
      <c r="M82" s="130">
        <v>18000</v>
      </c>
      <c r="N82" s="130">
        <v>18500</v>
      </c>
      <c r="O82" s="130"/>
      <c r="P82" s="130"/>
      <c r="Q82" s="130"/>
      <c r="R82" s="130">
        <f t="shared" si="110"/>
        <v>18000</v>
      </c>
      <c r="S82" s="130">
        <f t="shared" si="113"/>
        <v>18000</v>
      </c>
      <c r="T82" s="779"/>
      <c r="U82" s="661"/>
      <c r="V82" s="700" t="str">
        <f>VLOOKUP("단가"&amp;$B:$B&amp;"번",일위!Q:Q,1,FALSE)</f>
        <v>단가75번</v>
      </c>
      <c r="X82" s="472" t="e">
        <f>VLOOKUP(A82,내역!I:I,1,FALSE)</f>
        <v>#N/A</v>
      </c>
      <c r="Y82" s="472"/>
      <c r="Z82" s="779"/>
      <c r="AA82" s="820"/>
      <c r="AB82" s="820"/>
      <c r="AC82" s="762"/>
      <c r="AD82" s="773"/>
      <c r="AE82" s="780"/>
      <c r="AF82" s="820"/>
      <c r="AG82" s="820"/>
      <c r="AH82" s="762"/>
      <c r="AI82" s="762"/>
      <c r="AK82" s="700" t="s">
        <v>1447</v>
      </c>
    </row>
    <row r="83" spans="1:37" s="700" customFormat="1" ht="19.5" customHeight="1" x14ac:dyDescent="0.15">
      <c r="A83" s="700" t="str">
        <f t="shared" ref="A83" si="115">CONCATENATE(D83,F83,G83)</f>
        <v>유리설치후 보양작업㎡</v>
      </c>
      <c r="B83" s="864">
        <f t="shared" si="99"/>
        <v>76</v>
      </c>
      <c r="C83" s="632"/>
      <c r="D83" s="165" t="s">
        <v>607</v>
      </c>
      <c r="E83" s="625"/>
      <c r="F83" s="165"/>
      <c r="G83" s="455" t="s">
        <v>350</v>
      </c>
      <c r="H83" s="130"/>
      <c r="I83" s="130"/>
      <c r="J83" s="129"/>
      <c r="K83" s="129"/>
      <c r="L83" s="129"/>
      <c r="M83" s="130">
        <v>1500</v>
      </c>
      <c r="N83" s="130">
        <v>1800</v>
      </c>
      <c r="O83" s="130"/>
      <c r="P83" s="130"/>
      <c r="Q83" s="130"/>
      <c r="R83" s="130">
        <f t="shared" ref="R83:R85" si="116">TRUNC(MIN(H83,I83,K83,M83,N83,O83,P83,Q83))</f>
        <v>1500</v>
      </c>
      <c r="S83" s="130">
        <f t="shared" si="113"/>
        <v>1500</v>
      </c>
      <c r="T83" s="779"/>
      <c r="U83" s="661"/>
      <c r="V83" s="700" t="str">
        <f>VLOOKUP("단가"&amp;$B:$B&amp;"번",일위!Q:Q,1,FALSE)</f>
        <v>단가76번</v>
      </c>
      <c r="X83" s="472" t="e">
        <f>VLOOKUP(A83,내역!I:I,1,FALSE)</f>
        <v>#N/A</v>
      </c>
      <c r="Y83" s="472"/>
      <c r="Z83" s="779"/>
      <c r="AA83" s="820"/>
      <c r="AB83" s="820"/>
      <c r="AC83" s="762"/>
      <c r="AD83" s="773"/>
      <c r="AE83" s="780"/>
      <c r="AF83" s="820"/>
      <c r="AG83" s="820"/>
      <c r="AH83" s="762"/>
      <c r="AI83" s="762"/>
      <c r="AK83" s="700" t="s">
        <v>1448</v>
      </c>
    </row>
    <row r="84" spans="1:37" s="700" customFormat="1" ht="19.5" customHeight="1" x14ac:dyDescent="0.15">
      <c r="A84" s="700" t="str">
        <f t="shared" ref="A84" si="117">CONCATENATE(D84,F84,G84)</f>
        <v>절곡가공V-컷팅M</v>
      </c>
      <c r="B84" s="864">
        <f t="shared" si="99"/>
        <v>77</v>
      </c>
      <c r="C84" s="632"/>
      <c r="D84" s="164" t="s">
        <v>493</v>
      </c>
      <c r="E84" s="165"/>
      <c r="F84" s="164" t="s">
        <v>494</v>
      </c>
      <c r="G84" s="455" t="s">
        <v>495</v>
      </c>
      <c r="H84" s="130"/>
      <c r="I84" s="130"/>
      <c r="J84" s="129"/>
      <c r="K84" s="129"/>
      <c r="L84" s="129"/>
      <c r="M84" s="130">
        <v>1000</v>
      </c>
      <c r="N84" s="130">
        <v>1100</v>
      </c>
      <c r="O84" s="130"/>
      <c r="P84" s="130"/>
      <c r="Q84" s="130"/>
      <c r="R84" s="130">
        <f t="shared" si="116"/>
        <v>1000</v>
      </c>
      <c r="S84" s="130">
        <f t="shared" si="113"/>
        <v>1000</v>
      </c>
      <c r="T84" s="779"/>
      <c r="U84" s="661"/>
      <c r="V84" s="700" t="str">
        <f>VLOOKUP("단가"&amp;$B:$B&amp;"번",일위!Q:Q,1,FALSE)</f>
        <v>단가77번</v>
      </c>
      <c r="X84" s="472" t="e">
        <f>VLOOKUP(A84,내역!I:I,1,FALSE)</f>
        <v>#N/A</v>
      </c>
      <c r="Y84" s="472"/>
      <c r="Z84" s="779"/>
      <c r="AA84" s="820"/>
      <c r="AB84" s="820"/>
      <c r="AC84" s="762"/>
      <c r="AD84" s="773"/>
      <c r="AE84" s="780"/>
      <c r="AF84" s="820"/>
      <c r="AG84" s="820"/>
      <c r="AH84" s="762"/>
      <c r="AI84" s="762"/>
      <c r="AK84" s="700" t="s">
        <v>1446</v>
      </c>
    </row>
    <row r="85" spans="1:37" s="700" customFormat="1" ht="19.5" customHeight="1" x14ac:dyDescent="0.15">
      <c r="A85" s="700" t="str">
        <f t="shared" ref="A85:A87" si="118">CONCATENATE(D85,F85,G85)</f>
        <v>카바링 테이프규격별m</v>
      </c>
      <c r="B85" s="864">
        <f t="shared" si="99"/>
        <v>78</v>
      </c>
      <c r="C85" s="632"/>
      <c r="D85" s="165" t="s">
        <v>1179</v>
      </c>
      <c r="E85" s="625"/>
      <c r="F85" s="165" t="s">
        <v>1180</v>
      </c>
      <c r="G85" s="573" t="s">
        <v>351</v>
      </c>
      <c r="H85" s="130"/>
      <c r="I85" s="130"/>
      <c r="J85" s="129"/>
      <c r="K85" s="129"/>
      <c r="L85" s="129"/>
      <c r="M85" s="130">
        <v>300</v>
      </c>
      <c r="N85" s="130">
        <v>320</v>
      </c>
      <c r="O85" s="130"/>
      <c r="P85" s="130"/>
      <c r="Q85" s="130"/>
      <c r="R85" s="130">
        <f t="shared" si="116"/>
        <v>300</v>
      </c>
      <c r="S85" s="130">
        <f t="shared" ref="S85:S89" si="119">TRUNC(R85*$T$4%)</f>
        <v>300</v>
      </c>
      <c r="T85" s="779"/>
      <c r="U85" s="661"/>
      <c r="V85" s="700" t="str">
        <f>VLOOKUP("단가"&amp;$B:$B&amp;"번",일위!Q:Q,1,FALSE)</f>
        <v>단가78번</v>
      </c>
      <c r="X85" s="472" t="e">
        <f>VLOOKUP(A85,내역!I:I,1,FALSE)</f>
        <v>#N/A</v>
      </c>
      <c r="Y85" s="472"/>
      <c r="Z85" s="779"/>
      <c r="AA85" s="820"/>
      <c r="AB85" s="820"/>
      <c r="AC85" s="762"/>
      <c r="AD85" s="773"/>
      <c r="AE85" s="780"/>
      <c r="AF85" s="820"/>
      <c r="AG85" s="820"/>
      <c r="AH85" s="762"/>
      <c r="AI85" s="762"/>
      <c r="AK85" s="700" t="s">
        <v>1447</v>
      </c>
    </row>
    <row r="86" spans="1:37" s="700" customFormat="1" ht="19.5" customHeight="1" x14ac:dyDescent="0.15">
      <c r="A86" s="700" t="str">
        <f t="shared" ref="A86" si="120">CONCATENATE(D86,F86,G86)</f>
        <v>액자걸이 FRMAE 매설지정사양, 설치포함m</v>
      </c>
      <c r="B86" s="864">
        <f t="shared" si="99"/>
        <v>79</v>
      </c>
      <c r="C86" s="632"/>
      <c r="D86" s="629" t="s">
        <v>1236</v>
      </c>
      <c r="E86" s="670"/>
      <c r="F86" s="629" t="s">
        <v>1238</v>
      </c>
      <c r="G86" s="207" t="s">
        <v>1237</v>
      </c>
      <c r="H86" s="130"/>
      <c r="I86" s="130"/>
      <c r="J86" s="129"/>
      <c r="K86" s="129"/>
      <c r="L86" s="129"/>
      <c r="M86" s="130">
        <v>15000</v>
      </c>
      <c r="N86" s="130">
        <v>20000</v>
      </c>
      <c r="O86" s="130"/>
      <c r="P86" s="130"/>
      <c r="Q86" s="130"/>
      <c r="R86" s="130">
        <f t="shared" ref="R86" si="121">TRUNC(MIN(H86,I86,K86,M86,N86,O86,P86,Q86))</f>
        <v>15000</v>
      </c>
      <c r="S86" s="130">
        <f t="shared" ref="S86" si="122">TRUNC(R86*$T$4%)</f>
        <v>15000</v>
      </c>
      <c r="T86" s="779"/>
      <c r="U86" s="661"/>
      <c r="V86" s="700" t="e">
        <f>VLOOKUP("단가"&amp;$B:$B&amp;"번",일위!Q:Q,1,FALSE)</f>
        <v>#N/A</v>
      </c>
      <c r="X86" s="472" t="str">
        <f>VLOOKUP(A86,내역!I:I,1,FALSE)</f>
        <v>액자걸이 FRMAE 매설지정사양, 설치포함m</v>
      </c>
      <c r="Y86" s="472"/>
      <c r="Z86" s="779"/>
      <c r="AA86" s="820"/>
      <c r="AB86" s="820"/>
      <c r="AC86" s="762"/>
      <c r="AD86" s="773"/>
      <c r="AE86" s="780"/>
      <c r="AF86" s="820"/>
      <c r="AG86" s="820"/>
      <c r="AH86" s="762"/>
      <c r="AI86" s="762"/>
      <c r="AK86" s="700" t="s">
        <v>1446</v>
      </c>
    </row>
    <row r="87" spans="1:37" s="700" customFormat="1" ht="19.5" customHeight="1" x14ac:dyDescent="0.15">
      <c r="A87" s="700" t="str">
        <f t="shared" si="118"/>
        <v>페인트걸레받이용 아크릴수지ℓ</v>
      </c>
      <c r="B87" s="864">
        <f t="shared" si="99"/>
        <v>80</v>
      </c>
      <c r="C87" s="632"/>
      <c r="D87" s="165" t="s">
        <v>487</v>
      </c>
      <c r="E87" s="625"/>
      <c r="F87" s="165" t="s">
        <v>488</v>
      </c>
      <c r="G87" s="455" t="s">
        <v>360</v>
      </c>
      <c r="H87" s="130"/>
      <c r="I87" s="130"/>
      <c r="J87" s="129"/>
      <c r="K87" s="129"/>
      <c r="L87" s="129"/>
      <c r="M87" s="130">
        <v>3700</v>
      </c>
      <c r="N87" s="130">
        <v>3800</v>
      </c>
      <c r="O87" s="130"/>
      <c r="P87" s="130"/>
      <c r="Q87" s="130"/>
      <c r="R87" s="130">
        <f t="shared" ref="R87:R97" si="123">TRUNC(MIN(H87,I87,K87,M87,N87,O87,P87,Q87))</f>
        <v>3700</v>
      </c>
      <c r="S87" s="130">
        <f t="shared" si="119"/>
        <v>3700</v>
      </c>
      <c r="T87" s="779"/>
      <c r="U87" s="661"/>
      <c r="V87" s="700" t="str">
        <f>VLOOKUP("단가"&amp;$B:$B&amp;"번",일위!Q:Q,1,FALSE)</f>
        <v>단가80번</v>
      </c>
      <c r="X87" s="472" t="e">
        <f>VLOOKUP(A87,내역!I:I,1,FALSE)</f>
        <v>#N/A</v>
      </c>
      <c r="Y87" s="472"/>
      <c r="Z87" s="779"/>
      <c r="AA87" s="820"/>
      <c r="AB87" s="820"/>
      <c r="AC87" s="762"/>
      <c r="AD87" s="773"/>
      <c r="AE87" s="780"/>
      <c r="AF87" s="820"/>
      <c r="AG87" s="820"/>
      <c r="AH87" s="762"/>
      <c r="AI87" s="762"/>
      <c r="AK87" s="700" t="s">
        <v>1447</v>
      </c>
    </row>
    <row r="88" spans="1:37" s="700" customFormat="1" ht="19.5" customHeight="1" x14ac:dyDescent="0.15">
      <c r="A88" s="700" t="str">
        <f t="shared" ref="A88:A89" si="124">CONCATENATE(D88,F88,G88)</f>
        <v>플라베니아THK=3mm*3'*6㎡</v>
      </c>
      <c r="B88" s="864">
        <f t="shared" si="99"/>
        <v>81</v>
      </c>
      <c r="C88" s="632"/>
      <c r="D88" s="165" t="s">
        <v>1181</v>
      </c>
      <c r="E88" s="625"/>
      <c r="F88" s="165" t="s">
        <v>1182</v>
      </c>
      <c r="G88" s="455" t="s">
        <v>350</v>
      </c>
      <c r="H88" s="130"/>
      <c r="I88" s="130"/>
      <c r="J88" s="129"/>
      <c r="K88" s="129"/>
      <c r="L88" s="129"/>
      <c r="M88" s="130">
        <f>TRUNC(3230/(0.9*1.8),0)</f>
        <v>1993</v>
      </c>
      <c r="N88" s="130">
        <v>1950</v>
      </c>
      <c r="O88" s="130"/>
      <c r="P88" s="130"/>
      <c r="Q88" s="130"/>
      <c r="R88" s="130">
        <f t="shared" si="123"/>
        <v>1950</v>
      </c>
      <c r="S88" s="130">
        <f t="shared" si="119"/>
        <v>1950</v>
      </c>
      <c r="T88" s="779"/>
      <c r="U88" s="661"/>
      <c r="V88" s="700" t="str">
        <f>VLOOKUP("단가"&amp;$B:$B&amp;"번",일위!Q:Q,1,FALSE)</f>
        <v>단가81번</v>
      </c>
      <c r="X88" s="472" t="e">
        <f>VLOOKUP(A88,내역!I:I,1,FALSE)</f>
        <v>#N/A</v>
      </c>
      <c r="Y88" s="472"/>
      <c r="Z88" s="779"/>
      <c r="AA88" s="820"/>
      <c r="AB88" s="820"/>
      <c r="AC88" s="762"/>
      <c r="AD88" s="773"/>
      <c r="AE88" s="780"/>
      <c r="AF88" s="820"/>
      <c r="AG88" s="820"/>
      <c r="AH88" s="762"/>
      <c r="AI88" s="762"/>
      <c r="AK88" s="700" t="s">
        <v>1446</v>
      </c>
    </row>
    <row r="89" spans="1:37" s="700" customFormat="1" ht="19.5" customHeight="1" x14ac:dyDescent="0.15">
      <c r="A89" s="700" t="str">
        <f t="shared" si="124"/>
        <v>하이덴(비닐)0.01T, W:150㎝, ℓ:20mm</v>
      </c>
      <c r="B89" s="864">
        <f t="shared" si="99"/>
        <v>82</v>
      </c>
      <c r="C89" s="632"/>
      <c r="D89" s="165" t="s">
        <v>500</v>
      </c>
      <c r="E89" s="625"/>
      <c r="F89" s="165" t="s">
        <v>501</v>
      </c>
      <c r="G89" s="455" t="s">
        <v>351</v>
      </c>
      <c r="H89" s="130"/>
      <c r="I89" s="130"/>
      <c r="J89" s="129"/>
      <c r="K89" s="129"/>
      <c r="L89" s="129"/>
      <c r="M89" s="130">
        <v>85</v>
      </c>
      <c r="N89" s="130">
        <v>90</v>
      </c>
      <c r="O89" s="130"/>
      <c r="P89" s="130"/>
      <c r="Q89" s="130"/>
      <c r="R89" s="130">
        <f t="shared" si="123"/>
        <v>85</v>
      </c>
      <c r="S89" s="130">
        <f t="shared" si="119"/>
        <v>85</v>
      </c>
      <c r="T89" s="779"/>
      <c r="U89" s="661"/>
      <c r="V89" s="700" t="str">
        <f>VLOOKUP("단가"&amp;$B:$B&amp;"번",일위!Q:Q,1,FALSE)</f>
        <v>단가82번</v>
      </c>
      <c r="X89" s="472" t="e">
        <f>VLOOKUP(A89,내역!I:I,1,FALSE)</f>
        <v>#N/A</v>
      </c>
      <c r="Y89" s="472"/>
      <c r="Z89" s="779"/>
      <c r="AA89" s="820"/>
      <c r="AB89" s="820"/>
      <c r="AC89" s="762"/>
      <c r="AD89" s="773"/>
      <c r="AE89" s="780"/>
      <c r="AF89" s="820"/>
      <c r="AG89" s="820"/>
      <c r="AH89" s="762"/>
      <c r="AI89" s="762"/>
      <c r="AK89" s="700" t="s">
        <v>1447</v>
      </c>
    </row>
    <row r="90" spans="1:37" s="700" customFormat="1" ht="19.5" customHeight="1" x14ac:dyDescent="0.15">
      <c r="A90" s="700" t="str">
        <f t="shared" ref="A90:A97" si="125">CONCATENATE(D90,F90,G90)</f>
        <v>M-BAR 클립0.5T*34*38*47EA</v>
      </c>
      <c r="B90" s="864">
        <f t="shared" si="99"/>
        <v>83</v>
      </c>
      <c r="C90" s="632"/>
      <c r="D90" s="164" t="s">
        <v>502</v>
      </c>
      <c r="E90" s="165"/>
      <c r="F90" s="164" t="s">
        <v>361</v>
      </c>
      <c r="G90" s="455" t="s">
        <v>352</v>
      </c>
      <c r="H90" s="130"/>
      <c r="I90" s="130"/>
      <c r="J90" s="129"/>
      <c r="K90" s="129" t="str">
        <f t="shared" ref="K90:K97" si="126">IF(AG90=0,"",TRUNC(AG90/AH90,0))</f>
        <v/>
      </c>
      <c r="L90" s="129">
        <f t="shared" ref="L90:L97" si="127">AE90</f>
        <v>0</v>
      </c>
      <c r="M90" s="130">
        <v>60</v>
      </c>
      <c r="N90" s="130">
        <v>75</v>
      </c>
      <c r="O90" s="130"/>
      <c r="P90" s="130"/>
      <c r="Q90" s="130"/>
      <c r="R90" s="130">
        <f t="shared" si="123"/>
        <v>60</v>
      </c>
      <c r="S90" s="130">
        <f t="shared" ref="S90:S97" si="128">TRUNC(R90*$T$4%)</f>
        <v>60</v>
      </c>
      <c r="T90" s="779"/>
      <c r="U90" s="661"/>
      <c r="V90" s="700" t="str">
        <f>VLOOKUP("단가"&amp;$B:$B&amp;"번",일위!Q:Q,1,FALSE)</f>
        <v>단가83번</v>
      </c>
      <c r="X90" s="472" t="e">
        <f>VLOOKUP(A90,내역!I:I,1,FALSE)</f>
        <v>#N/A</v>
      </c>
      <c r="Y90" s="472"/>
      <c r="Z90" s="771"/>
      <c r="AA90" s="820">
        <v>60</v>
      </c>
      <c r="AB90" s="776" t="s">
        <v>1183</v>
      </c>
      <c r="AC90" s="762">
        <v>1</v>
      </c>
      <c r="AD90" s="773"/>
      <c r="AE90" s="777"/>
      <c r="AF90" s="820"/>
      <c r="AG90" s="820"/>
      <c r="AH90" s="762"/>
      <c r="AI90" s="762"/>
      <c r="AK90" s="700" t="s">
        <v>1446</v>
      </c>
    </row>
    <row r="91" spans="1:37" s="700" customFormat="1" ht="19.5" customHeight="1" x14ac:dyDescent="0.15">
      <c r="A91" s="700" t="str">
        <f t="shared" si="125"/>
        <v>M-BAR.조인트0.5T*100*43EA</v>
      </c>
      <c r="B91" s="864">
        <f t="shared" si="99"/>
        <v>84</v>
      </c>
      <c r="C91" s="632"/>
      <c r="D91" s="164" t="s">
        <v>503</v>
      </c>
      <c r="E91" s="165"/>
      <c r="F91" s="164" t="s">
        <v>504</v>
      </c>
      <c r="G91" s="455" t="s">
        <v>352</v>
      </c>
      <c r="H91" s="130"/>
      <c r="I91" s="130"/>
      <c r="J91" s="129"/>
      <c r="K91" s="129" t="str">
        <f t="shared" si="126"/>
        <v/>
      </c>
      <c r="L91" s="129">
        <f t="shared" si="127"/>
        <v>0</v>
      </c>
      <c r="M91" s="130">
        <v>80</v>
      </c>
      <c r="N91" s="130">
        <v>82</v>
      </c>
      <c r="O91" s="130"/>
      <c r="P91" s="130"/>
      <c r="Q91" s="130"/>
      <c r="R91" s="130">
        <f t="shared" si="123"/>
        <v>80</v>
      </c>
      <c r="S91" s="130">
        <f t="shared" si="128"/>
        <v>80</v>
      </c>
      <c r="T91" s="779"/>
      <c r="U91" s="661"/>
      <c r="V91" s="700" t="str">
        <f>VLOOKUP("단가"&amp;$B:$B&amp;"번",일위!Q:Q,1,FALSE)</f>
        <v>단가84번</v>
      </c>
      <c r="X91" s="472" t="e">
        <f>VLOOKUP(A91,내역!I:I,1,FALSE)</f>
        <v>#N/A</v>
      </c>
      <c r="Y91" s="472"/>
      <c r="Z91" s="771"/>
      <c r="AA91" s="820">
        <v>80</v>
      </c>
      <c r="AB91" s="776" t="s">
        <v>1183</v>
      </c>
      <c r="AC91" s="762">
        <v>1</v>
      </c>
      <c r="AD91" s="773"/>
      <c r="AE91" s="777"/>
      <c r="AF91" s="820"/>
      <c r="AG91" s="820"/>
      <c r="AH91" s="762"/>
      <c r="AI91" s="762"/>
      <c r="AK91" s="700" t="s">
        <v>1446</v>
      </c>
    </row>
    <row r="92" spans="1:37" s="700" customFormat="1" ht="19.5" customHeight="1" x14ac:dyDescent="0.15">
      <c r="A92" s="700" t="str">
        <f t="shared" si="125"/>
        <v>찬넬클립1.2T*34*34EA</v>
      </c>
      <c r="B92" s="864">
        <f t="shared" si="99"/>
        <v>85</v>
      </c>
      <c r="C92" s="632"/>
      <c r="D92" s="164" t="s">
        <v>496</v>
      </c>
      <c r="E92" s="165"/>
      <c r="F92" s="164" t="s">
        <v>497</v>
      </c>
      <c r="G92" s="455" t="s">
        <v>352</v>
      </c>
      <c r="H92" s="130"/>
      <c r="I92" s="130"/>
      <c r="J92" s="129"/>
      <c r="K92" s="129" t="str">
        <f t="shared" si="126"/>
        <v/>
      </c>
      <c r="L92" s="129">
        <f t="shared" si="127"/>
        <v>0</v>
      </c>
      <c r="M92" s="130">
        <v>111</v>
      </c>
      <c r="N92" s="130">
        <v>116</v>
      </c>
      <c r="O92" s="130"/>
      <c r="P92" s="130"/>
      <c r="Q92" s="130"/>
      <c r="R92" s="130">
        <f t="shared" si="123"/>
        <v>111</v>
      </c>
      <c r="S92" s="130">
        <f t="shared" si="128"/>
        <v>111</v>
      </c>
      <c r="T92" s="779"/>
      <c r="U92" s="661"/>
      <c r="V92" s="700" t="str">
        <f>VLOOKUP("단가"&amp;$B:$B&amp;"번",일위!Q:Q,1,FALSE)</f>
        <v>단가85번</v>
      </c>
      <c r="X92" s="472" t="e">
        <f>VLOOKUP(A92,내역!I:I,1,FALSE)</f>
        <v>#N/A</v>
      </c>
      <c r="Y92" s="472"/>
      <c r="Z92" s="779"/>
      <c r="AA92" s="820">
        <v>111</v>
      </c>
      <c r="AB92" s="776" t="s">
        <v>1183</v>
      </c>
      <c r="AC92" s="762">
        <v>1</v>
      </c>
      <c r="AD92" s="773"/>
      <c r="AE92" s="777"/>
      <c r="AF92" s="820"/>
      <c r="AG92" s="820"/>
      <c r="AH92" s="762"/>
      <c r="AI92" s="762"/>
      <c r="AK92" s="700" t="s">
        <v>1446</v>
      </c>
    </row>
    <row r="93" spans="1:37" s="700" customFormat="1" ht="19.5" customHeight="1" x14ac:dyDescent="0.15">
      <c r="A93" s="700" t="str">
        <f t="shared" si="125"/>
        <v>캐링조인트0.5T*13*40*90개</v>
      </c>
      <c r="B93" s="864">
        <f t="shared" si="99"/>
        <v>86</v>
      </c>
      <c r="C93" s="632"/>
      <c r="D93" s="164" t="s">
        <v>498</v>
      </c>
      <c r="E93" s="165"/>
      <c r="F93" s="164" t="s">
        <v>499</v>
      </c>
      <c r="G93" s="455" t="s">
        <v>439</v>
      </c>
      <c r="H93" s="130"/>
      <c r="I93" s="130"/>
      <c r="J93" s="129"/>
      <c r="K93" s="129" t="str">
        <f t="shared" si="126"/>
        <v/>
      </c>
      <c r="L93" s="129">
        <f t="shared" si="127"/>
        <v>0</v>
      </c>
      <c r="M93" s="130">
        <v>107</v>
      </c>
      <c r="N93" s="130">
        <v>120</v>
      </c>
      <c r="O93" s="130"/>
      <c r="P93" s="130"/>
      <c r="Q93" s="130"/>
      <c r="R93" s="130">
        <f t="shared" si="123"/>
        <v>107</v>
      </c>
      <c r="S93" s="130">
        <f t="shared" si="128"/>
        <v>107</v>
      </c>
      <c r="T93" s="779"/>
      <c r="U93" s="661"/>
      <c r="V93" s="700" t="str">
        <f>VLOOKUP("단가"&amp;$B:$B&amp;"번",일위!Q:Q,1,FALSE)</f>
        <v>단가86번</v>
      </c>
      <c r="X93" s="472" t="e">
        <f>VLOOKUP(A93,내역!I:I,1,FALSE)</f>
        <v>#N/A</v>
      </c>
      <c r="Y93" s="472"/>
      <c r="Z93" s="779"/>
      <c r="AA93" s="820">
        <v>107</v>
      </c>
      <c r="AB93" s="776" t="s">
        <v>1183</v>
      </c>
      <c r="AC93" s="762">
        <v>1</v>
      </c>
      <c r="AD93" s="773"/>
      <c r="AE93" s="777"/>
      <c r="AF93" s="820"/>
      <c r="AG93" s="820"/>
      <c r="AH93" s="762"/>
      <c r="AI93" s="762"/>
      <c r="AK93" s="700" t="s">
        <v>1446</v>
      </c>
    </row>
    <row r="94" spans="1:37" s="700" customFormat="1" ht="19.5" customHeight="1" x14ac:dyDescent="0.15">
      <c r="A94" s="700" t="str">
        <f t="shared" si="125"/>
        <v>샌딩실러SB-L-37ℓ</v>
      </c>
      <c r="B94" s="864">
        <f t="shared" si="99"/>
        <v>87</v>
      </c>
      <c r="C94" s="632"/>
      <c r="D94" s="164" t="s">
        <v>1185</v>
      </c>
      <c r="E94" s="165"/>
      <c r="F94" s="164" t="s">
        <v>1186</v>
      </c>
      <c r="G94" s="455" t="s">
        <v>1187</v>
      </c>
      <c r="H94" s="130"/>
      <c r="I94" s="130"/>
      <c r="J94" s="129"/>
      <c r="K94" s="129" t="str">
        <f t="shared" si="126"/>
        <v/>
      </c>
      <c r="L94" s="129">
        <f t="shared" si="127"/>
        <v>0</v>
      </c>
      <c r="M94" s="130">
        <v>8122</v>
      </c>
      <c r="N94" s="130">
        <v>8500</v>
      </c>
      <c r="O94" s="130"/>
      <c r="P94" s="130"/>
      <c r="Q94" s="130"/>
      <c r="R94" s="130">
        <f t="shared" si="123"/>
        <v>8122</v>
      </c>
      <c r="S94" s="130">
        <f t="shared" si="128"/>
        <v>8122</v>
      </c>
      <c r="T94" s="779"/>
      <c r="U94" s="661"/>
      <c r="V94" s="700" t="str">
        <f>VLOOKUP("단가"&amp;$B:$B&amp;"번",일위!Q:Q,1,FALSE)</f>
        <v>단가87번</v>
      </c>
      <c r="X94" s="472" t="e">
        <f>VLOOKUP(A94,내역!I:I,1,FALSE)</f>
        <v>#N/A</v>
      </c>
      <c r="Y94" s="472"/>
      <c r="Z94" s="779"/>
      <c r="AA94" s="820">
        <v>8122</v>
      </c>
      <c r="AB94" s="776" t="s">
        <v>1184</v>
      </c>
      <c r="AC94" s="762">
        <v>1</v>
      </c>
      <c r="AD94" s="773"/>
      <c r="AE94" s="777"/>
      <c r="AF94" s="820"/>
      <c r="AG94" s="820"/>
      <c r="AH94" s="762"/>
      <c r="AI94" s="762"/>
      <c r="AK94" s="700" t="s">
        <v>1447</v>
      </c>
    </row>
    <row r="95" spans="1:37" s="700" customFormat="1" ht="19.5" customHeight="1" x14ac:dyDescent="0.15">
      <c r="A95" s="700" t="str">
        <f t="shared" si="125"/>
        <v>손잡이L:1,219EA</v>
      </c>
      <c r="B95" s="864">
        <f t="shared" si="99"/>
        <v>88</v>
      </c>
      <c r="C95" s="632"/>
      <c r="D95" s="164" t="s">
        <v>612</v>
      </c>
      <c r="E95" s="165"/>
      <c r="F95" s="164" t="s">
        <v>605</v>
      </c>
      <c r="G95" s="455" t="s">
        <v>352</v>
      </c>
      <c r="H95" s="130"/>
      <c r="I95" s="130"/>
      <c r="J95" s="129"/>
      <c r="K95" s="129" t="str">
        <f t="shared" si="126"/>
        <v/>
      </c>
      <c r="L95" s="129">
        <f t="shared" si="127"/>
        <v>0</v>
      </c>
      <c r="M95" s="130">
        <v>850</v>
      </c>
      <c r="N95" s="130">
        <v>860</v>
      </c>
      <c r="O95" s="130"/>
      <c r="P95" s="130"/>
      <c r="Q95" s="130"/>
      <c r="R95" s="130">
        <f t="shared" si="123"/>
        <v>850</v>
      </c>
      <c r="S95" s="130">
        <f t="shared" si="128"/>
        <v>850</v>
      </c>
      <c r="T95" s="779"/>
      <c r="U95" s="661"/>
      <c r="V95" s="700" t="str">
        <f>VLOOKUP("단가"&amp;$B:$B&amp;"번",일위!Q:Q,1,FALSE)</f>
        <v>단가88번</v>
      </c>
      <c r="X95" s="472" t="e">
        <f>VLOOKUP(A95,내역!I:I,1,FALSE)</f>
        <v>#N/A</v>
      </c>
      <c r="Y95" s="472"/>
      <c r="Z95" s="779"/>
      <c r="AA95" s="820">
        <v>850</v>
      </c>
      <c r="AB95" s="776" t="s">
        <v>1188</v>
      </c>
      <c r="AC95" s="762">
        <v>1</v>
      </c>
      <c r="AD95" s="773"/>
      <c r="AE95" s="777"/>
      <c r="AF95" s="820"/>
      <c r="AG95" s="820"/>
      <c r="AH95" s="762"/>
      <c r="AI95" s="762"/>
      <c r="AK95" s="700" t="s">
        <v>1446</v>
      </c>
    </row>
    <row r="96" spans="1:37" s="700" customFormat="1" ht="19.5" customHeight="1" x14ac:dyDescent="0.15">
      <c r="A96" s="700" t="str">
        <f t="shared" si="125"/>
        <v>손잡이L:1,829EA</v>
      </c>
      <c r="B96" s="864">
        <f t="shared" si="99"/>
        <v>89</v>
      </c>
      <c r="C96" s="632"/>
      <c r="D96" s="164" t="s">
        <v>612</v>
      </c>
      <c r="E96" s="165"/>
      <c r="F96" s="164" t="s">
        <v>613</v>
      </c>
      <c r="G96" s="455" t="s">
        <v>352</v>
      </c>
      <c r="H96" s="130"/>
      <c r="I96" s="130"/>
      <c r="J96" s="129"/>
      <c r="K96" s="129" t="str">
        <f t="shared" si="126"/>
        <v/>
      </c>
      <c r="L96" s="129">
        <f t="shared" si="127"/>
        <v>0</v>
      </c>
      <c r="M96" s="130">
        <v>1200</v>
      </c>
      <c r="N96" s="130">
        <v>1210</v>
      </c>
      <c r="O96" s="130"/>
      <c r="P96" s="130"/>
      <c r="Q96" s="130"/>
      <c r="R96" s="130">
        <f t="shared" si="123"/>
        <v>1200</v>
      </c>
      <c r="S96" s="130">
        <f t="shared" si="128"/>
        <v>1200</v>
      </c>
      <c r="T96" s="779"/>
      <c r="U96" s="661"/>
      <c r="V96" s="700" t="str">
        <f>VLOOKUP("단가"&amp;$B:$B&amp;"번",일위!Q:Q,1,FALSE)</f>
        <v>단가89번</v>
      </c>
      <c r="X96" s="472" t="e">
        <f>VLOOKUP(A96,내역!I:I,1,FALSE)</f>
        <v>#N/A</v>
      </c>
      <c r="Y96" s="472"/>
      <c r="Z96" s="779"/>
      <c r="AA96" s="820">
        <v>1200</v>
      </c>
      <c r="AB96" s="776" t="s">
        <v>1188</v>
      </c>
      <c r="AC96" s="762">
        <v>1</v>
      </c>
      <c r="AD96" s="773"/>
      <c r="AE96" s="777"/>
      <c r="AF96" s="820"/>
      <c r="AG96" s="820"/>
      <c r="AH96" s="762"/>
      <c r="AI96" s="762"/>
      <c r="AK96" s="700" t="s">
        <v>1446</v>
      </c>
    </row>
    <row r="97" spans="1:37" s="700" customFormat="1" ht="19.5" customHeight="1" x14ac:dyDescent="0.15">
      <c r="A97" s="700" t="str">
        <f t="shared" si="125"/>
        <v>손잡이기둥L:1,219EA</v>
      </c>
      <c r="B97" s="864">
        <f t="shared" si="99"/>
        <v>90</v>
      </c>
      <c r="C97" s="632"/>
      <c r="D97" s="164" t="s">
        <v>606</v>
      </c>
      <c r="E97" s="165"/>
      <c r="F97" s="164" t="s">
        <v>605</v>
      </c>
      <c r="G97" s="455" t="s">
        <v>352</v>
      </c>
      <c r="H97" s="130"/>
      <c r="I97" s="130"/>
      <c r="J97" s="129"/>
      <c r="K97" s="129" t="str">
        <f t="shared" si="126"/>
        <v/>
      </c>
      <c r="L97" s="129">
        <f t="shared" si="127"/>
        <v>0</v>
      </c>
      <c r="M97" s="130">
        <v>2200</v>
      </c>
      <c r="N97" s="130">
        <v>2300</v>
      </c>
      <c r="O97" s="130"/>
      <c r="P97" s="130"/>
      <c r="Q97" s="130"/>
      <c r="R97" s="130">
        <f t="shared" si="123"/>
        <v>2200</v>
      </c>
      <c r="S97" s="130">
        <f t="shared" si="128"/>
        <v>2200</v>
      </c>
      <c r="T97" s="779"/>
      <c r="U97" s="661"/>
      <c r="V97" s="700" t="str">
        <f>VLOOKUP("단가"&amp;$B:$B&amp;"번",일위!Q:Q,1,FALSE)</f>
        <v>단가90번</v>
      </c>
      <c r="X97" s="472" t="e">
        <f>VLOOKUP(A97,내역!I:I,1,FALSE)</f>
        <v>#N/A</v>
      </c>
      <c r="Y97" s="472"/>
      <c r="Z97" s="779"/>
      <c r="AA97" s="820">
        <v>2200</v>
      </c>
      <c r="AB97" s="776" t="s">
        <v>1188</v>
      </c>
      <c r="AC97" s="762">
        <v>1</v>
      </c>
      <c r="AD97" s="773"/>
      <c r="AE97" s="777"/>
      <c r="AF97" s="820"/>
      <c r="AG97" s="820"/>
      <c r="AH97" s="762"/>
      <c r="AI97" s="762"/>
      <c r="AK97" s="700" t="s">
        <v>1446</v>
      </c>
    </row>
    <row r="98" spans="1:37" s="700" customFormat="1" ht="19.5" customHeight="1" x14ac:dyDescent="0.15">
      <c r="A98" s="700" t="str">
        <f t="shared" ref="A98" si="129">CONCATENATE(D98,F98,G98)</f>
        <v>지정타일THK=5mm, 지정사양㎡</v>
      </c>
      <c r="B98" s="864">
        <f t="shared" si="99"/>
        <v>91</v>
      </c>
      <c r="C98" s="632"/>
      <c r="D98" s="164" t="s">
        <v>1219</v>
      </c>
      <c r="E98" s="165"/>
      <c r="F98" s="164" t="s">
        <v>1220</v>
      </c>
      <c r="G98" s="455" t="s">
        <v>1178</v>
      </c>
      <c r="H98" s="455"/>
      <c r="I98" s="130"/>
      <c r="J98" s="129"/>
      <c r="K98" s="129"/>
      <c r="L98" s="129"/>
      <c r="M98" s="129">
        <v>40000</v>
      </c>
      <c r="N98" s="130">
        <v>60000</v>
      </c>
      <c r="O98" s="130"/>
      <c r="P98" s="130"/>
      <c r="Q98" s="130"/>
      <c r="R98" s="130">
        <f t="shared" ref="R98" si="130">TRUNC(MIN(H98,I98,K98,M98,N98,O98,P98,Q98))</f>
        <v>40000</v>
      </c>
      <c r="S98" s="130">
        <f t="shared" ref="S98" si="131">TRUNC(R98*$T$4%)</f>
        <v>40000</v>
      </c>
      <c r="T98" s="779"/>
      <c r="U98" s="661"/>
      <c r="V98" s="700" t="str">
        <f>VLOOKUP("단가"&amp;$B:$B&amp;"번",일위!Q:Q,1,FALSE)</f>
        <v>단가91번</v>
      </c>
      <c r="X98" s="472" t="e">
        <f>VLOOKUP(A98,내역!I:I,1,FALSE)</f>
        <v>#N/A</v>
      </c>
      <c r="Y98" s="472"/>
      <c r="Z98" s="779"/>
      <c r="AA98" s="820"/>
      <c r="AB98" s="820"/>
      <c r="AC98" s="762"/>
      <c r="AD98" s="773"/>
      <c r="AE98" s="780"/>
      <c r="AF98" s="820"/>
      <c r="AG98" s="820"/>
      <c r="AH98" s="762"/>
      <c r="AI98" s="762"/>
      <c r="AK98" s="700" t="s">
        <v>1446</v>
      </c>
    </row>
    <row r="99" spans="1:37" s="700" customFormat="1" ht="19.5" customHeight="1" x14ac:dyDescent="0.15">
      <c r="A99" s="700" t="str">
        <f t="shared" ref="A99:A122" si="132">CONCATENATE(D99,F99,G99)</f>
        <v>CASTER&amp;ADJUSTER지정사양EA</v>
      </c>
      <c r="B99" s="864">
        <f t="shared" si="99"/>
        <v>92</v>
      </c>
      <c r="C99" s="711"/>
      <c r="D99" s="794" t="s">
        <v>1193</v>
      </c>
      <c r="E99" s="803"/>
      <c r="F99" s="794" t="s">
        <v>1194</v>
      </c>
      <c r="G99" s="796" t="s">
        <v>352</v>
      </c>
      <c r="H99" s="714"/>
      <c r="I99" s="714"/>
      <c r="J99" s="715"/>
      <c r="K99" s="715"/>
      <c r="L99" s="715"/>
      <c r="M99" s="714">
        <v>70000</v>
      </c>
      <c r="N99" s="714">
        <v>100000</v>
      </c>
      <c r="O99" s="714"/>
      <c r="P99" s="714"/>
      <c r="Q99" s="714"/>
      <c r="R99" s="130">
        <f t="shared" ref="R99:R122" si="133">TRUNC(MIN(H99,I99,K99,M99,N99,O99,P99,Q99))</f>
        <v>70000</v>
      </c>
      <c r="S99" s="130">
        <f t="shared" ref="S99:S122" si="134">TRUNC(R99*$T$4%)</f>
        <v>70000</v>
      </c>
      <c r="T99" s="775"/>
      <c r="U99" s="761"/>
      <c r="V99" s="700" t="e">
        <f>VLOOKUP("단가"&amp;$B:$B&amp;"번",일위!Q:Q,1,FALSE)</f>
        <v>#N/A</v>
      </c>
      <c r="X99" s="472" t="e">
        <f>VLOOKUP(A99,내역!I:I,1,FALSE)</f>
        <v>#N/A</v>
      </c>
      <c r="Y99" s="472"/>
      <c r="Z99" s="775"/>
      <c r="AA99" s="758"/>
      <c r="AB99" s="775"/>
      <c r="AC99" s="778"/>
      <c r="AD99" s="781"/>
      <c r="AE99" s="777"/>
      <c r="AF99" s="758"/>
      <c r="AG99" s="758"/>
      <c r="AH99" s="778"/>
      <c r="AI99" s="778"/>
      <c r="AK99" s="700" t="s">
        <v>1446</v>
      </c>
    </row>
    <row r="100" spans="1:37" s="700" customFormat="1" ht="19.5" customHeight="1" x14ac:dyDescent="0.15">
      <c r="A100" s="700" t="str">
        <f t="shared" ref="A100:A102" si="135">CONCATENATE(D100,F100,G100)</f>
        <v>LED BAR 조명14.4W, 1M기준M</v>
      </c>
      <c r="B100" s="864">
        <f t="shared" si="99"/>
        <v>93</v>
      </c>
      <c r="C100" s="711"/>
      <c r="D100" s="204" t="s">
        <v>1261</v>
      </c>
      <c r="E100" s="213"/>
      <c r="F100" s="602" t="s">
        <v>1263</v>
      </c>
      <c r="G100" s="207" t="s">
        <v>888</v>
      </c>
      <c r="H100" s="714"/>
      <c r="I100" s="714"/>
      <c r="J100" s="715"/>
      <c r="K100" s="715"/>
      <c r="L100" s="715"/>
      <c r="M100" s="714">
        <v>24000</v>
      </c>
      <c r="N100" s="714">
        <v>28000</v>
      </c>
      <c r="O100" s="714"/>
      <c r="P100" s="714"/>
      <c r="Q100" s="714"/>
      <c r="R100" s="130">
        <f t="shared" ref="R100:R102" si="136">TRUNC(MIN(H100,I100,K100,M100,N100,O100,P100,Q100))</f>
        <v>24000</v>
      </c>
      <c r="S100" s="130">
        <f t="shared" ref="S100:S102" si="137">TRUNC(R100*$T$4%)</f>
        <v>24000</v>
      </c>
      <c r="T100" s="775"/>
      <c r="U100" s="761"/>
      <c r="V100" s="700" t="str">
        <f>VLOOKUP("단가"&amp;$B:$B&amp;"번",일위!Q:Q,1,FALSE)</f>
        <v>단가93번</v>
      </c>
      <c r="X100" s="472" t="e">
        <f>VLOOKUP(A100,내역!I:I,1,FALSE)</f>
        <v>#N/A</v>
      </c>
      <c r="Y100" s="472"/>
      <c r="Z100" s="775"/>
      <c r="AA100" s="758"/>
      <c r="AB100" s="775"/>
      <c r="AC100" s="778"/>
      <c r="AD100" s="781"/>
      <c r="AE100" s="777"/>
      <c r="AF100" s="758"/>
      <c r="AG100" s="758"/>
      <c r="AH100" s="778"/>
      <c r="AI100" s="778"/>
      <c r="AK100" s="700" t="s">
        <v>1449</v>
      </c>
    </row>
    <row r="101" spans="1:37" s="700" customFormat="1" ht="19.5" customHeight="1" x14ac:dyDescent="0.15">
      <c r="A101" s="700" t="str">
        <f t="shared" ref="A101" si="138">CONCATENATE(D101,F101,G101)</f>
        <v>인포데스크 및 수납장철거SET</v>
      </c>
      <c r="B101" s="864">
        <f t="shared" si="99"/>
        <v>94</v>
      </c>
      <c r="C101" s="711"/>
      <c r="D101" s="669" t="s">
        <v>1476</v>
      </c>
      <c r="E101" s="670"/>
      <c r="F101" s="669"/>
      <c r="G101" s="737" t="s">
        <v>1477</v>
      </c>
      <c r="H101" s="714"/>
      <c r="I101" s="714"/>
      <c r="J101" s="715"/>
      <c r="K101" s="715"/>
      <c r="L101" s="715"/>
      <c r="M101" s="714">
        <v>150000</v>
      </c>
      <c r="N101" s="714">
        <v>100000</v>
      </c>
      <c r="O101" s="714"/>
      <c r="P101" s="714"/>
      <c r="Q101" s="714"/>
      <c r="R101" s="130">
        <f t="shared" ref="R101" si="139">TRUNC(MIN(H101,I101,K101,M101,N101,O101,P101,Q101))</f>
        <v>100000</v>
      </c>
      <c r="S101" s="130">
        <f t="shared" ref="S101" si="140">TRUNC(R101*$T$4%)</f>
        <v>100000</v>
      </c>
      <c r="T101" s="775"/>
      <c r="U101" s="761"/>
      <c r="V101" s="700" t="e">
        <f>VLOOKUP("단가"&amp;$B:$B&amp;"번",일위!Q:Q,1,FALSE)</f>
        <v>#N/A</v>
      </c>
      <c r="X101" s="472" t="str">
        <f>VLOOKUP(A101,내역!I:I,1,FALSE)</f>
        <v>인포데스크 및 수납장철거SET</v>
      </c>
      <c r="Y101" s="472"/>
      <c r="Z101" s="775"/>
      <c r="AA101" s="758"/>
      <c r="AB101" s="775"/>
      <c r="AC101" s="778"/>
      <c r="AD101" s="781"/>
      <c r="AE101" s="777"/>
      <c r="AF101" s="758"/>
      <c r="AG101" s="758"/>
      <c r="AH101" s="778"/>
      <c r="AI101" s="778"/>
      <c r="AK101" s="700" t="s">
        <v>1449</v>
      </c>
    </row>
    <row r="102" spans="1:37" s="700" customFormat="1" ht="19.5" customHeight="1" x14ac:dyDescent="0.15">
      <c r="A102" s="700" t="str">
        <f t="shared" si="135"/>
        <v>기존 집기류 철거SHOP/LIBRARY 집기외식</v>
      </c>
      <c r="B102" s="864">
        <f t="shared" si="99"/>
        <v>95</v>
      </c>
      <c r="C102" s="711"/>
      <c r="D102" s="707" t="s">
        <v>1482</v>
      </c>
      <c r="E102" s="736"/>
      <c r="F102" s="707" t="s">
        <v>1483</v>
      </c>
      <c r="G102" s="737" t="s">
        <v>1266</v>
      </c>
      <c r="H102" s="714"/>
      <c r="I102" s="714"/>
      <c r="J102" s="715"/>
      <c r="K102" s="715"/>
      <c r="L102" s="715"/>
      <c r="M102" s="714">
        <v>1500000</v>
      </c>
      <c r="N102" s="714">
        <v>1200000</v>
      </c>
      <c r="O102" s="714"/>
      <c r="P102" s="714"/>
      <c r="Q102" s="714"/>
      <c r="R102" s="130">
        <f t="shared" si="136"/>
        <v>1200000</v>
      </c>
      <c r="S102" s="130">
        <f t="shared" si="137"/>
        <v>1200000</v>
      </c>
      <c r="T102" s="775"/>
      <c r="U102" s="761"/>
      <c r="V102" s="700" t="e">
        <f>VLOOKUP("단가"&amp;$B:$B&amp;"번",일위!Q:Q,1,FALSE)</f>
        <v>#N/A</v>
      </c>
      <c r="X102" s="472" t="str">
        <f>VLOOKUP(A102,내역!I:I,1,FALSE)</f>
        <v>기존 집기류 철거SHOP/LIBRARY 집기외식</v>
      </c>
      <c r="Y102" s="472"/>
      <c r="Z102" s="775"/>
      <c r="AA102" s="758"/>
      <c r="AB102" s="775"/>
      <c r="AC102" s="778"/>
      <c r="AD102" s="781"/>
      <c r="AE102" s="777"/>
      <c r="AF102" s="758"/>
      <c r="AG102" s="758"/>
      <c r="AH102" s="778"/>
      <c r="AI102" s="778"/>
      <c r="AK102" s="700" t="s">
        <v>1449</v>
      </c>
    </row>
    <row r="103" spans="1:37" s="700" customFormat="1" ht="19.5" customHeight="1" x14ac:dyDescent="0.15">
      <c r="A103" s="700" t="str">
        <f t="shared" ref="A103:A105" si="141">CONCATENATE(D103,F103,G103)</f>
        <v>지정무늬목 루버연출W:300, 띠장 연출m</v>
      </c>
      <c r="B103" s="864">
        <f t="shared" si="99"/>
        <v>96</v>
      </c>
      <c r="C103" s="711"/>
      <c r="D103" s="629" t="s">
        <v>1332</v>
      </c>
      <c r="E103" s="670"/>
      <c r="F103" s="629" t="s">
        <v>1333</v>
      </c>
      <c r="G103" s="207" t="s">
        <v>351</v>
      </c>
      <c r="H103" s="714"/>
      <c r="I103" s="714"/>
      <c r="J103" s="715"/>
      <c r="K103" s="715"/>
      <c r="L103" s="715"/>
      <c r="M103" s="714">
        <v>95000</v>
      </c>
      <c r="N103" s="714">
        <v>120000</v>
      </c>
      <c r="O103" s="714"/>
      <c r="P103" s="714"/>
      <c r="Q103" s="714"/>
      <c r="R103" s="130">
        <f t="shared" ref="R103:R105" si="142">TRUNC(MIN(H103,I103,K103,M103,N103,O103,P103,Q103))</f>
        <v>95000</v>
      </c>
      <c r="S103" s="130">
        <f t="shared" ref="S103:S105" si="143">TRUNC(R103*$T$4%)</f>
        <v>95000</v>
      </c>
      <c r="T103" s="775"/>
      <c r="U103" s="761"/>
      <c r="V103" s="700" t="e">
        <f>VLOOKUP("단가"&amp;$B:$B&amp;"번",일위!Q:Q,1,FALSE)</f>
        <v>#N/A</v>
      </c>
      <c r="X103" s="472" t="str">
        <f>VLOOKUP(A103,내역!I:I,1,FALSE)</f>
        <v>지정무늬목 루버연출W:300, 띠장 연출m</v>
      </c>
      <c r="Y103" s="472"/>
      <c r="Z103" s="775"/>
      <c r="AA103" s="758"/>
      <c r="AB103" s="775"/>
      <c r="AC103" s="778"/>
      <c r="AD103" s="781"/>
      <c r="AE103" s="777"/>
      <c r="AF103" s="758"/>
      <c r="AG103" s="758"/>
      <c r="AH103" s="778"/>
      <c r="AI103" s="778"/>
      <c r="AK103" s="700" t="s">
        <v>1450</v>
      </c>
    </row>
    <row r="104" spans="1:37" s="700" customFormat="1" ht="19.5" customHeight="1" x14ac:dyDescent="0.15">
      <c r="A104" s="700" t="str">
        <f t="shared" si="141"/>
        <v>카운터 데스크H:750, 내부 수납장포함m</v>
      </c>
      <c r="B104" s="864">
        <f t="shared" si="99"/>
        <v>97</v>
      </c>
      <c r="C104" s="711"/>
      <c r="D104" s="629" t="s">
        <v>1347</v>
      </c>
      <c r="E104" s="670"/>
      <c r="F104" s="629" t="s">
        <v>1348</v>
      </c>
      <c r="G104" s="207" t="s">
        <v>351</v>
      </c>
      <c r="H104" s="714"/>
      <c r="I104" s="714"/>
      <c r="J104" s="715"/>
      <c r="K104" s="715"/>
      <c r="L104" s="715"/>
      <c r="M104" s="714">
        <v>290000</v>
      </c>
      <c r="N104" s="714">
        <v>350000</v>
      </c>
      <c r="O104" s="714"/>
      <c r="P104" s="714"/>
      <c r="Q104" s="714"/>
      <c r="R104" s="130">
        <f t="shared" si="142"/>
        <v>290000</v>
      </c>
      <c r="S104" s="130">
        <f t="shared" si="143"/>
        <v>290000</v>
      </c>
      <c r="T104" s="775"/>
      <c r="U104" s="761"/>
      <c r="V104" s="700" t="e">
        <f>VLOOKUP("단가"&amp;$B:$B&amp;"번",일위!Q:Q,1,FALSE)</f>
        <v>#N/A</v>
      </c>
      <c r="X104" s="472" t="str">
        <f>VLOOKUP(A104,내역!I:I,1,FALSE)</f>
        <v>카운터 데스크H:750, 내부 수납장포함m</v>
      </c>
      <c r="Y104" s="472"/>
      <c r="Z104" s="775"/>
      <c r="AA104" s="758"/>
      <c r="AB104" s="775"/>
      <c r="AC104" s="778"/>
      <c r="AD104" s="781"/>
      <c r="AE104" s="777"/>
      <c r="AF104" s="758"/>
      <c r="AG104" s="758"/>
      <c r="AH104" s="778"/>
      <c r="AI104" s="778"/>
      <c r="AK104" s="700" t="s">
        <v>1450</v>
      </c>
    </row>
    <row r="105" spans="1:37" s="700" customFormat="1" ht="19.5" customHeight="1" x14ac:dyDescent="0.15">
      <c r="A105" s="700" t="str">
        <f t="shared" si="141"/>
        <v>카운터 의자FU-10, 지정사양EA</v>
      </c>
      <c r="B105" s="864">
        <f t="shared" si="99"/>
        <v>98</v>
      </c>
      <c r="C105" s="711"/>
      <c r="D105" s="629" t="s">
        <v>1349</v>
      </c>
      <c r="E105" s="670"/>
      <c r="F105" s="629" t="s">
        <v>1420</v>
      </c>
      <c r="G105" s="207" t="s">
        <v>1304</v>
      </c>
      <c r="H105" s="714"/>
      <c r="I105" s="714"/>
      <c r="J105" s="715"/>
      <c r="K105" s="715"/>
      <c r="L105" s="715"/>
      <c r="M105" s="714">
        <v>200000</v>
      </c>
      <c r="N105" s="714">
        <v>160000</v>
      </c>
      <c r="O105" s="714"/>
      <c r="P105" s="714"/>
      <c r="Q105" s="714"/>
      <c r="R105" s="130">
        <f t="shared" si="142"/>
        <v>160000</v>
      </c>
      <c r="S105" s="130">
        <f t="shared" si="143"/>
        <v>160000</v>
      </c>
      <c r="T105" s="775"/>
      <c r="U105" s="761"/>
      <c r="V105" s="700" t="e">
        <f>VLOOKUP("단가"&amp;$B:$B&amp;"번",일위!Q:Q,1,FALSE)</f>
        <v>#N/A</v>
      </c>
      <c r="X105" s="472" t="str">
        <f>VLOOKUP(A105,내역!I:I,1,FALSE)</f>
        <v>카운터 의자FU-10, 지정사양EA</v>
      </c>
      <c r="Y105" s="472"/>
      <c r="Z105" s="775"/>
      <c r="AA105" s="758"/>
      <c r="AB105" s="775"/>
      <c r="AC105" s="778"/>
      <c r="AD105" s="781"/>
      <c r="AE105" s="777"/>
      <c r="AF105" s="758"/>
      <c r="AG105" s="758"/>
      <c r="AH105" s="778"/>
      <c r="AI105" s="778"/>
      <c r="AK105" s="700" t="s">
        <v>1450</v>
      </c>
    </row>
    <row r="106" spans="1:37" s="700" customFormat="1" ht="19.5" customHeight="1" x14ac:dyDescent="0.15">
      <c r="A106" s="700" t="str">
        <f t="shared" ref="A106:A112" si="144">CONCATENATE(D106,F106,G106)</f>
        <v>여닫이 DOOR설치경첩 및 기타철물 포함개소</v>
      </c>
      <c r="B106" s="864">
        <f t="shared" si="99"/>
        <v>99</v>
      </c>
      <c r="C106" s="711"/>
      <c r="D106" s="629" t="s">
        <v>1371</v>
      </c>
      <c r="E106" s="670"/>
      <c r="F106" s="629" t="s">
        <v>1372</v>
      </c>
      <c r="G106" s="207" t="s">
        <v>1373</v>
      </c>
      <c r="H106" s="714"/>
      <c r="I106" s="714"/>
      <c r="J106" s="715"/>
      <c r="K106" s="715"/>
      <c r="L106" s="715"/>
      <c r="M106" s="714">
        <v>60000</v>
      </c>
      <c r="N106" s="714">
        <v>48000</v>
      </c>
      <c r="O106" s="714"/>
      <c r="P106" s="714"/>
      <c r="Q106" s="714"/>
      <c r="R106" s="130">
        <f t="shared" ref="R106:R112" si="145">TRUNC(MIN(H106,I106,K106,M106,N106,O106,P106,Q106))</f>
        <v>48000</v>
      </c>
      <c r="S106" s="130">
        <f t="shared" ref="S106:S112" si="146">TRUNC(R106*$T$4%)</f>
        <v>48000</v>
      </c>
      <c r="T106" s="775"/>
      <c r="U106" s="761"/>
      <c r="V106" s="700" t="e">
        <f>VLOOKUP("단가"&amp;$B:$B&amp;"번",일위!Q:Q,1,FALSE)</f>
        <v>#N/A</v>
      </c>
      <c r="X106" s="472" t="str">
        <f>VLOOKUP(A106,내역!I:I,1,FALSE)</f>
        <v>여닫이 DOOR설치경첩 및 기타철물 포함개소</v>
      </c>
      <c r="Y106" s="472"/>
      <c r="Z106" s="775"/>
      <c r="AA106" s="758"/>
      <c r="AB106" s="775"/>
      <c r="AC106" s="778"/>
      <c r="AD106" s="781"/>
      <c r="AE106" s="777"/>
      <c r="AF106" s="758"/>
      <c r="AG106" s="758"/>
      <c r="AH106" s="778"/>
      <c r="AI106" s="778"/>
      <c r="AK106" s="700" t="s">
        <v>1450</v>
      </c>
    </row>
    <row r="107" spans="1:37" s="700" customFormat="1" ht="19.5" customHeight="1" x14ac:dyDescent="0.15">
      <c r="A107" s="700" t="str">
        <f t="shared" ref="A107:A110" si="147">CONCATENATE(D107,F107,G107)</f>
        <v>수납 테이블(제작사양)5195*600*1050, 하이그로시도장마감SET</v>
      </c>
      <c r="B107" s="864">
        <f t="shared" si="99"/>
        <v>100</v>
      </c>
      <c r="C107" s="711"/>
      <c r="D107" s="629" t="s">
        <v>1389</v>
      </c>
      <c r="E107" s="670"/>
      <c r="F107" s="629" t="s">
        <v>1390</v>
      </c>
      <c r="G107" s="207" t="s">
        <v>1391</v>
      </c>
      <c r="H107" s="714"/>
      <c r="I107" s="714"/>
      <c r="J107" s="715"/>
      <c r="K107" s="715"/>
      <c r="L107" s="715"/>
      <c r="M107" s="714">
        <v>3500000</v>
      </c>
      <c r="N107" s="714">
        <v>4000000</v>
      </c>
      <c r="O107" s="714"/>
      <c r="P107" s="714"/>
      <c r="Q107" s="714"/>
      <c r="R107" s="130">
        <f t="shared" ref="R107:R110" si="148">TRUNC(MIN(H107,I107,K107,M107,N107,O107,P107,Q107))</f>
        <v>3500000</v>
      </c>
      <c r="S107" s="130">
        <f t="shared" ref="S107:S110" si="149">TRUNC(R107*$T$4%)</f>
        <v>3500000</v>
      </c>
      <c r="T107" s="775"/>
      <c r="U107" s="761"/>
      <c r="V107" s="700" t="e">
        <f>VLOOKUP("단가"&amp;$B:$B&amp;"번",일위!Q:Q,1,FALSE)</f>
        <v>#N/A</v>
      </c>
      <c r="X107" s="472" t="str">
        <f>VLOOKUP(A107,내역!I:I,1,FALSE)</f>
        <v>수납 테이블(제작사양)5195*600*1050, 하이그로시도장마감SET</v>
      </c>
      <c r="Y107" s="472"/>
      <c r="Z107" s="775"/>
      <c r="AA107" s="758"/>
      <c r="AB107" s="775"/>
      <c r="AC107" s="778"/>
      <c r="AD107" s="781"/>
      <c r="AE107" s="777"/>
      <c r="AF107" s="758"/>
      <c r="AG107" s="758"/>
      <c r="AH107" s="778"/>
      <c r="AI107" s="778"/>
      <c r="AK107" s="700" t="s">
        <v>1450</v>
      </c>
    </row>
    <row r="108" spans="1:37" s="700" customFormat="1" ht="19.5" customHeight="1" x14ac:dyDescent="0.15">
      <c r="A108" s="700" t="str">
        <f t="shared" si="147"/>
        <v>수납 테이블(제작사양)2545*600*1000, 하이그로시도장마감SET</v>
      </c>
      <c r="B108" s="864">
        <f t="shared" si="99"/>
        <v>101</v>
      </c>
      <c r="C108" s="711"/>
      <c r="D108" s="629" t="s">
        <v>1389</v>
      </c>
      <c r="E108" s="670"/>
      <c r="F108" s="629" t="s">
        <v>1394</v>
      </c>
      <c r="G108" s="207" t="s">
        <v>1391</v>
      </c>
      <c r="H108" s="714"/>
      <c r="I108" s="714"/>
      <c r="J108" s="715"/>
      <c r="K108" s="715"/>
      <c r="L108" s="715"/>
      <c r="M108" s="714">
        <v>1800000</v>
      </c>
      <c r="N108" s="714">
        <v>2000000</v>
      </c>
      <c r="O108" s="714"/>
      <c r="P108" s="714"/>
      <c r="Q108" s="714"/>
      <c r="R108" s="130">
        <f t="shared" si="148"/>
        <v>1800000</v>
      </c>
      <c r="S108" s="130">
        <f t="shared" si="149"/>
        <v>1800000</v>
      </c>
      <c r="T108" s="775"/>
      <c r="U108" s="761"/>
      <c r="V108" s="700" t="e">
        <f>VLOOKUP("단가"&amp;$B:$B&amp;"번",일위!Q:Q,1,FALSE)</f>
        <v>#N/A</v>
      </c>
      <c r="X108" s="472" t="str">
        <f>VLOOKUP(A108,내역!I:I,1,FALSE)</f>
        <v>수납 테이블(제작사양)2545*600*1000, 하이그로시도장마감SET</v>
      </c>
      <c r="Y108" s="472"/>
      <c r="Z108" s="775"/>
      <c r="AA108" s="758"/>
      <c r="AB108" s="775"/>
      <c r="AC108" s="778"/>
      <c r="AD108" s="781"/>
      <c r="AE108" s="777"/>
      <c r="AF108" s="758"/>
      <c r="AG108" s="758"/>
      <c r="AH108" s="778"/>
      <c r="AI108" s="778"/>
      <c r="AK108" s="700" t="s">
        <v>1450</v>
      </c>
    </row>
    <row r="109" spans="1:37" s="700" customFormat="1" ht="19.5" customHeight="1" x14ac:dyDescent="0.15">
      <c r="A109" s="700" t="str">
        <f t="shared" si="147"/>
        <v>수납 테이블(제작사양)1700*600*1000, 하이그로시도장마감SET</v>
      </c>
      <c r="B109" s="864">
        <f t="shared" si="99"/>
        <v>102</v>
      </c>
      <c r="C109" s="711"/>
      <c r="D109" s="629" t="s">
        <v>1389</v>
      </c>
      <c r="E109" s="670"/>
      <c r="F109" s="629" t="s">
        <v>1397</v>
      </c>
      <c r="G109" s="207" t="s">
        <v>1391</v>
      </c>
      <c r="H109" s="714"/>
      <c r="I109" s="714"/>
      <c r="J109" s="715"/>
      <c r="K109" s="715"/>
      <c r="L109" s="715"/>
      <c r="M109" s="714">
        <v>1200000</v>
      </c>
      <c r="N109" s="714">
        <v>1400000</v>
      </c>
      <c r="O109" s="714"/>
      <c r="P109" s="714"/>
      <c r="Q109" s="714"/>
      <c r="R109" s="130">
        <f t="shared" si="148"/>
        <v>1200000</v>
      </c>
      <c r="S109" s="130">
        <f t="shared" si="149"/>
        <v>1200000</v>
      </c>
      <c r="T109" s="775"/>
      <c r="U109" s="761"/>
      <c r="V109" s="700" t="e">
        <f>VLOOKUP("단가"&amp;$B:$B&amp;"번",일위!Q:Q,1,FALSE)</f>
        <v>#N/A</v>
      </c>
      <c r="X109" s="472" t="str">
        <f>VLOOKUP(A109,내역!I:I,1,FALSE)</f>
        <v>수납 테이블(제작사양)1700*600*1000, 하이그로시도장마감SET</v>
      </c>
      <c r="Y109" s="472"/>
      <c r="Z109" s="775"/>
      <c r="AA109" s="758"/>
      <c r="AB109" s="775"/>
      <c r="AC109" s="778"/>
      <c r="AD109" s="781"/>
      <c r="AE109" s="777"/>
      <c r="AF109" s="758"/>
      <c r="AG109" s="758"/>
      <c r="AH109" s="778"/>
      <c r="AI109" s="778"/>
      <c r="AK109" s="700" t="s">
        <v>1450</v>
      </c>
    </row>
    <row r="110" spans="1:37" s="700" customFormat="1" ht="19.5" customHeight="1" x14ac:dyDescent="0.15">
      <c r="A110" s="700" t="str">
        <f t="shared" si="147"/>
        <v>지정 쇼파1800*700*808, 지정사양SET</v>
      </c>
      <c r="B110" s="864">
        <f t="shared" si="99"/>
        <v>103</v>
      </c>
      <c r="C110" s="711"/>
      <c r="D110" s="629" t="s">
        <v>1399</v>
      </c>
      <c r="E110" s="670"/>
      <c r="F110" s="629" t="s">
        <v>1400</v>
      </c>
      <c r="G110" s="207" t="s">
        <v>881</v>
      </c>
      <c r="H110" s="714"/>
      <c r="I110" s="714"/>
      <c r="J110" s="715"/>
      <c r="K110" s="715"/>
      <c r="L110" s="715"/>
      <c r="M110" s="714">
        <v>1200000</v>
      </c>
      <c r="N110" s="714">
        <v>900000</v>
      </c>
      <c r="O110" s="714"/>
      <c r="P110" s="714"/>
      <c r="Q110" s="714"/>
      <c r="R110" s="130">
        <f t="shared" si="148"/>
        <v>900000</v>
      </c>
      <c r="S110" s="130">
        <f t="shared" si="149"/>
        <v>900000</v>
      </c>
      <c r="T110" s="775"/>
      <c r="U110" s="761"/>
      <c r="V110" s="700" t="e">
        <f>VLOOKUP("단가"&amp;$B:$B&amp;"번",일위!Q:Q,1,FALSE)</f>
        <v>#N/A</v>
      </c>
      <c r="X110" s="472" t="str">
        <f>VLOOKUP(A110,내역!I:I,1,FALSE)</f>
        <v>지정 쇼파1800*700*808, 지정사양SET</v>
      </c>
      <c r="Y110" s="472"/>
      <c r="Z110" s="775"/>
      <c r="AA110" s="758"/>
      <c r="AB110" s="775"/>
      <c r="AC110" s="778"/>
      <c r="AD110" s="781"/>
      <c r="AE110" s="777"/>
      <c r="AF110" s="758"/>
      <c r="AG110" s="758"/>
      <c r="AH110" s="778"/>
      <c r="AI110" s="778"/>
      <c r="AK110" s="700" t="s">
        <v>1450</v>
      </c>
    </row>
    <row r="111" spans="1:37" s="700" customFormat="1" ht="19.5" customHeight="1" x14ac:dyDescent="0.15">
      <c r="A111" s="700" t="str">
        <f t="shared" si="144"/>
        <v>이동식 테이블(제작사양)1500*700*700, 하이그로시도장마감SET</v>
      </c>
      <c r="B111" s="864">
        <f t="shared" si="99"/>
        <v>104</v>
      </c>
      <c r="C111" s="711"/>
      <c r="D111" s="629" t="s">
        <v>1405</v>
      </c>
      <c r="E111" s="670"/>
      <c r="F111" s="629" t="s">
        <v>1406</v>
      </c>
      <c r="G111" s="207" t="s">
        <v>1391</v>
      </c>
      <c r="H111" s="714"/>
      <c r="I111" s="714"/>
      <c r="J111" s="715"/>
      <c r="K111" s="715"/>
      <c r="L111" s="715"/>
      <c r="M111" s="714">
        <v>1100000</v>
      </c>
      <c r="N111" s="714">
        <v>1200000</v>
      </c>
      <c r="O111" s="714"/>
      <c r="P111" s="714"/>
      <c r="Q111" s="714"/>
      <c r="R111" s="130">
        <f t="shared" si="145"/>
        <v>1100000</v>
      </c>
      <c r="S111" s="130">
        <f t="shared" si="146"/>
        <v>1100000</v>
      </c>
      <c r="T111" s="775"/>
      <c r="U111" s="761"/>
      <c r="V111" s="700" t="e">
        <f>VLOOKUP("단가"&amp;$B:$B&amp;"번",일위!Q:Q,1,FALSE)</f>
        <v>#N/A</v>
      </c>
      <c r="X111" s="472" t="str">
        <f>VLOOKUP(A111,내역!I:I,1,FALSE)</f>
        <v>이동식 테이블(제작사양)1500*700*700, 하이그로시도장마감SET</v>
      </c>
      <c r="Y111" s="472"/>
      <c r="Z111" s="775"/>
      <c r="AA111" s="758"/>
      <c r="AB111" s="775"/>
      <c r="AC111" s="778"/>
      <c r="AD111" s="781"/>
      <c r="AE111" s="777"/>
      <c r="AF111" s="758"/>
      <c r="AG111" s="758"/>
      <c r="AH111" s="778"/>
      <c r="AI111" s="778"/>
      <c r="AK111" s="700" t="s">
        <v>1450</v>
      </c>
    </row>
    <row r="112" spans="1:37" s="700" customFormat="1" ht="19.5" customHeight="1" x14ac:dyDescent="0.15">
      <c r="A112" s="700" t="str">
        <f t="shared" si="144"/>
        <v>모듈형 목재락커장300*300*300내외, 넘버락EA</v>
      </c>
      <c r="B112" s="864">
        <f t="shared" si="99"/>
        <v>105</v>
      </c>
      <c r="C112" s="711"/>
      <c r="D112" s="629" t="s">
        <v>1413</v>
      </c>
      <c r="E112" s="670"/>
      <c r="F112" s="629" t="s">
        <v>1412</v>
      </c>
      <c r="G112" s="207" t="s">
        <v>1304</v>
      </c>
      <c r="H112" s="714"/>
      <c r="I112" s="714"/>
      <c r="J112" s="715"/>
      <c r="K112" s="715"/>
      <c r="L112" s="715"/>
      <c r="M112" s="714">
        <v>110000</v>
      </c>
      <c r="N112" s="714">
        <v>150000</v>
      </c>
      <c r="O112" s="714"/>
      <c r="P112" s="714"/>
      <c r="Q112" s="714"/>
      <c r="R112" s="130">
        <f t="shared" si="145"/>
        <v>110000</v>
      </c>
      <c r="S112" s="130">
        <f t="shared" si="146"/>
        <v>110000</v>
      </c>
      <c r="T112" s="775"/>
      <c r="U112" s="761"/>
      <c r="V112" s="700" t="e">
        <f>VLOOKUP("단가"&amp;$B:$B&amp;"번",일위!Q:Q,1,FALSE)</f>
        <v>#N/A</v>
      </c>
      <c r="X112" s="472" t="str">
        <f>VLOOKUP(A112,내역!I:I,1,FALSE)</f>
        <v>모듈형 목재락커장300*300*300내외, 넘버락EA</v>
      </c>
      <c r="Y112" s="472"/>
      <c r="Z112" s="775"/>
      <c r="AA112" s="758"/>
      <c r="AB112" s="775"/>
      <c r="AC112" s="778"/>
      <c r="AD112" s="781"/>
      <c r="AE112" s="777"/>
      <c r="AF112" s="758"/>
      <c r="AG112" s="758"/>
      <c r="AH112" s="778"/>
      <c r="AI112" s="778"/>
      <c r="AK112" s="700" t="s">
        <v>1450</v>
      </c>
    </row>
    <row r="113" spans="1:37" s="700" customFormat="1" ht="19.5" customHeight="1" x14ac:dyDescent="0.15">
      <c r="A113" s="700" t="str">
        <f t="shared" ref="A113:A114" si="150">CONCATENATE(D113,F113,G113)</f>
        <v>휴지통지정사양EA</v>
      </c>
      <c r="B113" s="864">
        <f t="shared" si="99"/>
        <v>106</v>
      </c>
      <c r="C113" s="711"/>
      <c r="D113" s="629" t="s">
        <v>1417</v>
      </c>
      <c r="E113" s="670"/>
      <c r="F113" s="629" t="s">
        <v>1418</v>
      </c>
      <c r="G113" s="207" t="s">
        <v>1304</v>
      </c>
      <c r="H113" s="714"/>
      <c r="I113" s="714"/>
      <c r="J113" s="715"/>
      <c r="K113" s="715"/>
      <c r="L113" s="715"/>
      <c r="M113" s="714">
        <v>300000</v>
      </c>
      <c r="N113" s="714">
        <v>250000</v>
      </c>
      <c r="O113" s="714"/>
      <c r="P113" s="714"/>
      <c r="Q113" s="714"/>
      <c r="R113" s="130">
        <f t="shared" ref="R113:R114" si="151">TRUNC(MIN(H113,I113,K113,M113,N113,O113,P113,Q113))</f>
        <v>250000</v>
      </c>
      <c r="S113" s="130">
        <f t="shared" ref="S113:S114" si="152">TRUNC(R113*$T$4%)</f>
        <v>250000</v>
      </c>
      <c r="T113" s="775"/>
      <c r="U113" s="761"/>
      <c r="V113" s="700" t="e">
        <f>VLOOKUP("단가"&amp;$B:$B&amp;"번",일위!Q:Q,1,FALSE)</f>
        <v>#N/A</v>
      </c>
      <c r="X113" s="472" t="str">
        <f>VLOOKUP(A113,내역!I:I,1,FALSE)</f>
        <v>휴지통지정사양EA</v>
      </c>
      <c r="Y113" s="472"/>
      <c r="Z113" s="775"/>
      <c r="AA113" s="758"/>
      <c r="AB113" s="775"/>
      <c r="AC113" s="778"/>
      <c r="AD113" s="781"/>
      <c r="AE113" s="777"/>
      <c r="AF113" s="758"/>
      <c r="AG113" s="758"/>
      <c r="AH113" s="778"/>
      <c r="AI113" s="778"/>
      <c r="AK113" s="700" t="s">
        <v>1450</v>
      </c>
    </row>
    <row r="114" spans="1:37" s="700" customFormat="1" ht="19.5" customHeight="1" x14ac:dyDescent="0.15">
      <c r="A114" s="700" t="str">
        <f t="shared" si="150"/>
        <v>정수기지정사양, 렌탈(1년사용료기준)EA</v>
      </c>
      <c r="B114" s="864">
        <f t="shared" si="99"/>
        <v>107</v>
      </c>
      <c r="C114" s="711"/>
      <c r="D114" s="629" t="s">
        <v>1428</v>
      </c>
      <c r="E114" s="670"/>
      <c r="F114" s="629" t="s">
        <v>1429</v>
      </c>
      <c r="G114" s="207" t="s">
        <v>1304</v>
      </c>
      <c r="H114" s="714"/>
      <c r="I114" s="714"/>
      <c r="J114" s="715"/>
      <c r="K114" s="715"/>
      <c r="L114" s="715"/>
      <c r="M114" s="714">
        <v>550000</v>
      </c>
      <c r="N114" s="714">
        <v>700000</v>
      </c>
      <c r="O114" s="714"/>
      <c r="P114" s="714"/>
      <c r="Q114" s="714"/>
      <c r="R114" s="130">
        <f t="shared" si="151"/>
        <v>550000</v>
      </c>
      <c r="S114" s="130">
        <f t="shared" si="152"/>
        <v>550000</v>
      </c>
      <c r="T114" s="775"/>
      <c r="U114" s="761"/>
      <c r="V114" s="700" t="e">
        <f>VLOOKUP("단가"&amp;$B:$B&amp;"번",일위!Q:Q,1,FALSE)</f>
        <v>#N/A</v>
      </c>
      <c r="X114" s="472" t="str">
        <f>VLOOKUP(A114,내역!I:I,1,FALSE)</f>
        <v>정수기지정사양, 렌탈(1년사용료기준)EA</v>
      </c>
      <c r="Y114" s="472"/>
      <c r="Z114" s="775"/>
      <c r="AA114" s="758"/>
      <c r="AB114" s="775"/>
      <c r="AC114" s="778"/>
      <c r="AD114" s="781"/>
      <c r="AE114" s="777"/>
      <c r="AF114" s="758"/>
      <c r="AG114" s="758"/>
      <c r="AH114" s="778"/>
      <c r="AI114" s="778"/>
      <c r="AK114" s="700" t="s">
        <v>1450</v>
      </c>
    </row>
    <row r="115" spans="1:37" s="700" customFormat="1" ht="19.5" customHeight="1" x14ac:dyDescent="0.15">
      <c r="A115" s="700" t="str">
        <f t="shared" ref="A115" si="153">CONCATENATE(D115,F115,G115)</f>
        <v>테이블지정사양EA</v>
      </c>
      <c r="B115" s="864">
        <f t="shared" si="99"/>
        <v>108</v>
      </c>
      <c r="C115" s="711"/>
      <c r="D115" s="629" t="s">
        <v>1427</v>
      </c>
      <c r="E115" s="670"/>
      <c r="F115" s="629" t="s">
        <v>1418</v>
      </c>
      <c r="G115" s="207" t="s">
        <v>1304</v>
      </c>
      <c r="H115" s="714"/>
      <c r="I115" s="714"/>
      <c r="J115" s="715"/>
      <c r="K115" s="715"/>
      <c r="L115" s="715"/>
      <c r="M115" s="714">
        <v>380000</v>
      </c>
      <c r="N115" s="714">
        <v>450000</v>
      </c>
      <c r="O115" s="714"/>
      <c r="P115" s="714"/>
      <c r="Q115" s="714"/>
      <c r="R115" s="130">
        <f t="shared" ref="R115" si="154">TRUNC(MIN(H115,I115,K115,M115,N115,O115,P115,Q115))</f>
        <v>380000</v>
      </c>
      <c r="S115" s="130">
        <f t="shared" ref="S115" si="155">TRUNC(R115*$T$4%)</f>
        <v>380000</v>
      </c>
      <c r="T115" s="775"/>
      <c r="U115" s="761"/>
      <c r="V115" s="700" t="e">
        <f>VLOOKUP("단가"&amp;$B:$B&amp;"번",일위!Q:Q,1,FALSE)</f>
        <v>#N/A</v>
      </c>
      <c r="X115" s="472" t="str">
        <f>VLOOKUP(A115,내역!I:I,1,FALSE)</f>
        <v>테이블지정사양EA</v>
      </c>
      <c r="Y115" s="472"/>
      <c r="Z115" s="775"/>
      <c r="AA115" s="758"/>
      <c r="AB115" s="775"/>
      <c r="AC115" s="778"/>
      <c r="AD115" s="781"/>
      <c r="AE115" s="777"/>
      <c r="AF115" s="758"/>
      <c r="AG115" s="758"/>
      <c r="AH115" s="778"/>
      <c r="AI115" s="778"/>
      <c r="AK115" s="700" t="s">
        <v>1450</v>
      </c>
    </row>
    <row r="116" spans="1:37" s="700" customFormat="1" ht="19.5" customHeight="1" x14ac:dyDescent="0.15">
      <c r="A116" s="700" t="str">
        <f t="shared" ref="A116" si="156">CONCATENATE(D116,F116,G116)</f>
        <v>아크릴 스카시_문자H:200mm, T:10mm, 한글EA</v>
      </c>
      <c r="B116" s="864">
        <f t="shared" si="99"/>
        <v>109</v>
      </c>
      <c r="C116" s="711"/>
      <c r="D116" s="669" t="s">
        <v>1302</v>
      </c>
      <c r="E116" s="670"/>
      <c r="F116" s="669" t="s">
        <v>1303</v>
      </c>
      <c r="G116" s="207" t="s">
        <v>1304</v>
      </c>
      <c r="H116" s="714"/>
      <c r="I116" s="714"/>
      <c r="J116" s="715"/>
      <c r="K116" s="715"/>
      <c r="L116" s="715"/>
      <c r="M116" s="714">
        <v>80000</v>
      </c>
      <c r="N116" s="714">
        <v>75000</v>
      </c>
      <c r="O116" s="714"/>
      <c r="P116" s="714"/>
      <c r="Q116" s="714"/>
      <c r="R116" s="130">
        <f t="shared" ref="R116" si="157">TRUNC(MIN(H116,I116,K116,M116,N116,O116,P116,Q116))</f>
        <v>75000</v>
      </c>
      <c r="S116" s="130">
        <f t="shared" ref="S116" si="158">TRUNC(R116*$T$4%)</f>
        <v>75000</v>
      </c>
      <c r="T116" s="775"/>
      <c r="U116" s="761"/>
      <c r="V116" s="700" t="e">
        <f>VLOOKUP("단가"&amp;$B:$B&amp;"번",일위!Q:Q,1,FALSE)</f>
        <v>#N/A</v>
      </c>
      <c r="X116" s="472" t="str">
        <f>VLOOKUP(A116,내역!I:I,1,FALSE)</f>
        <v>아크릴 스카시_문자H:200mm, T:10mm, 한글EA</v>
      </c>
      <c r="Y116" s="472"/>
      <c r="Z116" s="775"/>
      <c r="AA116" s="758"/>
      <c r="AB116" s="775"/>
      <c r="AC116" s="778"/>
      <c r="AD116" s="781"/>
      <c r="AE116" s="777"/>
      <c r="AF116" s="758"/>
      <c r="AG116" s="758"/>
      <c r="AH116" s="778"/>
      <c r="AI116" s="778"/>
      <c r="AK116" s="700" t="s">
        <v>1451</v>
      </c>
    </row>
    <row r="117" spans="1:37" s="700" customFormat="1" ht="19.5" customHeight="1" x14ac:dyDescent="0.15">
      <c r="A117" s="700" t="str">
        <f>CONCATENATE(D117,F117,G117)</f>
        <v>아크릴 스카시_문자H:100mm, T:10mm, 한글EA</v>
      </c>
      <c r="B117" s="864">
        <f t="shared" si="99"/>
        <v>110</v>
      </c>
      <c r="C117" s="711"/>
      <c r="D117" s="669" t="s">
        <v>1302</v>
      </c>
      <c r="E117" s="670"/>
      <c r="F117" s="669" t="s">
        <v>1308</v>
      </c>
      <c r="G117" s="207" t="s">
        <v>1304</v>
      </c>
      <c r="H117" s="714"/>
      <c r="I117" s="714">
        <v>50000</v>
      </c>
      <c r="J117" s="715">
        <v>619</v>
      </c>
      <c r="K117" s="715"/>
      <c r="L117" s="715"/>
      <c r="M117" s="714">
        <v>45000</v>
      </c>
      <c r="N117" s="714">
        <v>38000</v>
      </c>
      <c r="O117" s="714"/>
      <c r="P117" s="714"/>
      <c r="Q117" s="714"/>
      <c r="R117" s="130">
        <f>TRUNC(MIN(H117,I117,K117,M117,N117,O117,P117,Q117))</f>
        <v>38000</v>
      </c>
      <c r="S117" s="130">
        <f>TRUNC(R117*$T$4%)</f>
        <v>38000</v>
      </c>
      <c r="T117" s="775"/>
      <c r="U117" s="761"/>
      <c r="V117" s="700" t="e">
        <f>VLOOKUP("단가"&amp;$B:$B&amp;"번",일위!Q:Q,1,FALSE)</f>
        <v>#N/A</v>
      </c>
      <c r="X117" s="472" t="str">
        <f>VLOOKUP(A117,내역!I:I,1,FALSE)</f>
        <v>아크릴 스카시_문자H:100mm, T:10mm, 한글EA</v>
      </c>
      <c r="Y117" s="472"/>
      <c r="Z117" s="775"/>
      <c r="AA117" s="758"/>
      <c r="AB117" s="775"/>
      <c r="AC117" s="778"/>
      <c r="AD117" s="781"/>
      <c r="AE117" s="777"/>
      <c r="AF117" s="758"/>
      <c r="AG117" s="758"/>
      <c r="AH117" s="778"/>
      <c r="AI117" s="778"/>
      <c r="AK117" s="700" t="s">
        <v>1451</v>
      </c>
    </row>
    <row r="118" spans="1:37" s="700" customFormat="1" ht="19.5" customHeight="1" x14ac:dyDescent="0.15">
      <c r="A118" s="700" t="str">
        <f>CONCATENATE(D118,F118,G118)</f>
        <v>아크릴 스카시_문자H:80mm, T:10mm, 한글EA</v>
      </c>
      <c r="B118" s="864">
        <f t="shared" si="99"/>
        <v>111</v>
      </c>
      <c r="C118" s="711"/>
      <c r="D118" s="669" t="s">
        <v>1302</v>
      </c>
      <c r="E118" s="670"/>
      <c r="F118" s="669" t="s">
        <v>1309</v>
      </c>
      <c r="G118" s="207" t="s">
        <v>1304</v>
      </c>
      <c r="H118" s="714"/>
      <c r="I118" s="714"/>
      <c r="J118" s="715"/>
      <c r="K118" s="715"/>
      <c r="L118" s="715"/>
      <c r="M118" s="714">
        <v>38000</v>
      </c>
      <c r="N118" s="714">
        <v>32000</v>
      </c>
      <c r="O118" s="714"/>
      <c r="P118" s="714"/>
      <c r="Q118" s="714"/>
      <c r="R118" s="130">
        <f>TRUNC(MIN(H118,I118,K118,M118,N118,O118,P118,Q118))</f>
        <v>32000</v>
      </c>
      <c r="S118" s="130">
        <f>TRUNC(R118*$T$4%)</f>
        <v>32000</v>
      </c>
      <c r="T118" s="775"/>
      <c r="U118" s="761"/>
      <c r="V118" s="700" t="e">
        <f>VLOOKUP("단가"&amp;$B:$B&amp;"번",일위!Q:Q,1,FALSE)</f>
        <v>#N/A</v>
      </c>
      <c r="X118" s="472" t="str">
        <f>VLOOKUP(A118,내역!I:I,1,FALSE)</f>
        <v>아크릴 스카시_문자H:80mm, T:10mm, 한글EA</v>
      </c>
      <c r="Y118" s="472"/>
      <c r="Z118" s="775"/>
      <c r="AA118" s="758"/>
      <c r="AB118" s="775"/>
      <c r="AC118" s="778"/>
      <c r="AD118" s="781"/>
      <c r="AE118" s="777"/>
      <c r="AF118" s="758"/>
      <c r="AG118" s="758"/>
      <c r="AH118" s="778"/>
      <c r="AI118" s="778"/>
      <c r="AK118" s="700" t="s">
        <v>1451</v>
      </c>
    </row>
    <row r="119" spans="1:37" s="700" customFormat="1" ht="19.5" customHeight="1" x14ac:dyDescent="0.15">
      <c r="A119" s="700" t="str">
        <f t="shared" si="132"/>
        <v>아크릴 스카시_문자H:50mm, T:10mm, 한글EA</v>
      </c>
      <c r="B119" s="864">
        <f t="shared" si="99"/>
        <v>112</v>
      </c>
      <c r="C119" s="711"/>
      <c r="D119" s="669" t="s">
        <v>1302</v>
      </c>
      <c r="E119" s="670"/>
      <c r="F119" s="669" t="s">
        <v>1310</v>
      </c>
      <c r="G119" s="207" t="s">
        <v>1304</v>
      </c>
      <c r="H119" s="714"/>
      <c r="I119" s="714"/>
      <c r="J119" s="715"/>
      <c r="K119" s="715"/>
      <c r="L119" s="715"/>
      <c r="M119" s="714">
        <v>32000</v>
      </c>
      <c r="N119" s="714">
        <v>25000</v>
      </c>
      <c r="O119" s="714"/>
      <c r="P119" s="714"/>
      <c r="Q119" s="714"/>
      <c r="R119" s="130">
        <f t="shared" si="133"/>
        <v>25000</v>
      </c>
      <c r="S119" s="130">
        <f t="shared" si="134"/>
        <v>25000</v>
      </c>
      <c r="T119" s="775"/>
      <c r="U119" s="761"/>
      <c r="V119" s="700" t="e">
        <f>VLOOKUP("단가"&amp;$B:$B&amp;"번",일위!Q:Q,1,FALSE)</f>
        <v>#N/A</v>
      </c>
      <c r="X119" s="472" t="str">
        <f>VLOOKUP(A119,내역!I:I,1,FALSE)</f>
        <v>아크릴 스카시_문자H:50mm, T:10mm, 한글EA</v>
      </c>
      <c r="Y119" s="472"/>
      <c r="Z119" s="775"/>
      <c r="AA119" s="758"/>
      <c r="AB119" s="775"/>
      <c r="AC119" s="778"/>
      <c r="AD119" s="781"/>
      <c r="AE119" s="777"/>
      <c r="AF119" s="758"/>
      <c r="AG119" s="758"/>
      <c r="AH119" s="778"/>
      <c r="AI119" s="778"/>
      <c r="AK119" s="700" t="s">
        <v>1451</v>
      </c>
    </row>
    <row r="120" spans="1:37" s="700" customFormat="1" ht="19.5" customHeight="1" x14ac:dyDescent="0.15">
      <c r="A120" s="700" t="str">
        <f t="shared" si="132"/>
        <v>아크릴 스카시_문자H:150mm, T:10mm, 영문EA</v>
      </c>
      <c r="B120" s="864">
        <f t="shared" si="99"/>
        <v>113</v>
      </c>
      <c r="C120" s="711"/>
      <c r="D120" s="669" t="s">
        <v>1302</v>
      </c>
      <c r="E120" s="670"/>
      <c r="F120" s="669" t="s">
        <v>1316</v>
      </c>
      <c r="G120" s="207" t="s">
        <v>1304</v>
      </c>
      <c r="H120" s="714"/>
      <c r="I120" s="714"/>
      <c r="J120" s="715"/>
      <c r="K120" s="715"/>
      <c r="L120" s="715"/>
      <c r="M120" s="714">
        <v>60000</v>
      </c>
      <c r="N120" s="714">
        <v>45000</v>
      </c>
      <c r="O120" s="714"/>
      <c r="P120" s="714"/>
      <c r="Q120" s="714"/>
      <c r="R120" s="130">
        <f t="shared" si="133"/>
        <v>45000</v>
      </c>
      <c r="S120" s="130">
        <f t="shared" si="134"/>
        <v>45000</v>
      </c>
      <c r="T120" s="775"/>
      <c r="U120" s="761"/>
      <c r="V120" s="700" t="e">
        <f>VLOOKUP("단가"&amp;$B:$B&amp;"번",일위!Q:Q,1,FALSE)</f>
        <v>#N/A</v>
      </c>
      <c r="X120" s="472" t="str">
        <f>VLOOKUP(A120,내역!I:I,1,FALSE)</f>
        <v>아크릴 스카시_문자H:150mm, T:10mm, 영문EA</v>
      </c>
      <c r="Y120" s="472"/>
      <c r="Z120" s="775"/>
      <c r="AA120" s="758"/>
      <c r="AB120" s="775"/>
      <c r="AC120" s="778"/>
      <c r="AD120" s="781"/>
      <c r="AE120" s="777"/>
      <c r="AF120" s="758"/>
      <c r="AG120" s="758"/>
      <c r="AH120" s="778"/>
      <c r="AI120" s="778"/>
      <c r="AK120" s="700" t="s">
        <v>1451</v>
      </c>
    </row>
    <row r="121" spans="1:37" s="700" customFormat="1" ht="19.5" customHeight="1" x14ac:dyDescent="0.15">
      <c r="A121" s="700" t="str">
        <f>CONCATENATE(D121,F121,G121)</f>
        <v>아크릴 스카시_문자H:100mm, T:10mm, 영문EA</v>
      </c>
      <c r="B121" s="864">
        <f t="shared" si="99"/>
        <v>114</v>
      </c>
      <c r="C121" s="711"/>
      <c r="D121" s="669" t="s">
        <v>1302</v>
      </c>
      <c r="E121" s="670"/>
      <c r="F121" s="669" t="s">
        <v>1305</v>
      </c>
      <c r="G121" s="207" t="s">
        <v>1304</v>
      </c>
      <c r="H121" s="714"/>
      <c r="I121" s="714"/>
      <c r="J121" s="715"/>
      <c r="K121" s="715"/>
      <c r="L121" s="715"/>
      <c r="M121" s="714">
        <v>42000</v>
      </c>
      <c r="N121" s="714">
        <v>35000</v>
      </c>
      <c r="O121" s="714"/>
      <c r="P121" s="714"/>
      <c r="Q121" s="714"/>
      <c r="R121" s="130">
        <f>TRUNC(MIN(H121,I121,K121,M121,N121,O121,P121,Q121))</f>
        <v>35000</v>
      </c>
      <c r="S121" s="130">
        <f>TRUNC(R121*$T$4%)</f>
        <v>35000</v>
      </c>
      <c r="T121" s="775"/>
      <c r="U121" s="761"/>
      <c r="V121" s="700" t="e">
        <f>VLOOKUP("단가"&amp;$B:$B&amp;"번",일위!Q:Q,1,FALSE)</f>
        <v>#N/A</v>
      </c>
      <c r="X121" s="472" t="str">
        <f>VLOOKUP(A121,내역!I:I,1,FALSE)</f>
        <v>아크릴 스카시_문자H:100mm, T:10mm, 영문EA</v>
      </c>
      <c r="Y121" s="472"/>
      <c r="Z121" s="775"/>
      <c r="AA121" s="758"/>
      <c r="AB121" s="775"/>
      <c r="AC121" s="778"/>
      <c r="AD121" s="781"/>
      <c r="AE121" s="777"/>
      <c r="AF121" s="758"/>
      <c r="AG121" s="758"/>
      <c r="AH121" s="778"/>
      <c r="AI121" s="778"/>
      <c r="AK121" s="700" t="s">
        <v>1451</v>
      </c>
    </row>
    <row r="122" spans="1:37" s="700" customFormat="1" ht="19.5" customHeight="1" x14ac:dyDescent="0.15">
      <c r="A122" s="700" t="str">
        <f t="shared" si="132"/>
        <v>아크릴 스카시_문자H:50mm, T:10mm, 영문EA</v>
      </c>
      <c r="B122" s="864">
        <f t="shared" si="99"/>
        <v>115</v>
      </c>
      <c r="C122" s="711"/>
      <c r="D122" s="669" t="s">
        <v>1302</v>
      </c>
      <c r="E122" s="670"/>
      <c r="F122" s="669" t="s">
        <v>1321</v>
      </c>
      <c r="G122" s="207" t="s">
        <v>1304</v>
      </c>
      <c r="H122" s="714"/>
      <c r="I122" s="714"/>
      <c r="J122" s="715"/>
      <c r="K122" s="715"/>
      <c r="L122" s="715"/>
      <c r="M122" s="714">
        <v>32000</v>
      </c>
      <c r="N122" s="714">
        <v>24000</v>
      </c>
      <c r="O122" s="714"/>
      <c r="P122" s="714"/>
      <c r="Q122" s="714"/>
      <c r="R122" s="130">
        <f t="shared" si="133"/>
        <v>24000</v>
      </c>
      <c r="S122" s="130">
        <f t="shared" si="134"/>
        <v>24000</v>
      </c>
      <c r="T122" s="775"/>
      <c r="U122" s="761"/>
      <c r="V122" s="700" t="e">
        <f>VLOOKUP("단가"&amp;$B:$B&amp;"번",일위!Q:Q,1,FALSE)</f>
        <v>#N/A</v>
      </c>
      <c r="X122" s="472" t="str">
        <f>VLOOKUP(A122,내역!I:I,1,FALSE)</f>
        <v>아크릴 스카시_문자H:50mm, T:10mm, 영문EA</v>
      </c>
      <c r="Y122" s="472"/>
      <c r="Z122" s="775"/>
      <c r="AA122" s="758"/>
      <c r="AB122" s="775"/>
      <c r="AC122" s="778"/>
      <c r="AD122" s="781"/>
      <c r="AE122" s="777"/>
      <c r="AF122" s="758"/>
      <c r="AG122" s="758"/>
      <c r="AH122" s="778"/>
      <c r="AI122" s="778"/>
      <c r="AK122" s="700" t="s">
        <v>1451</v>
      </c>
    </row>
    <row r="123" spans="1:37" s="700" customFormat="1" ht="19.5" customHeight="1" x14ac:dyDescent="0.15">
      <c r="A123" s="700" t="str">
        <f>CONCATENATE(D123,F123,G123)</f>
        <v>아크릴 스카시_문자H:80mm, T:5mm, 영문EA</v>
      </c>
      <c r="B123" s="864">
        <f t="shared" si="99"/>
        <v>116</v>
      </c>
      <c r="C123" s="711"/>
      <c r="D123" s="669" t="s">
        <v>1302</v>
      </c>
      <c r="E123" s="670"/>
      <c r="F123" s="669" t="s">
        <v>1313</v>
      </c>
      <c r="G123" s="207" t="s">
        <v>1304</v>
      </c>
      <c r="H123" s="714"/>
      <c r="I123" s="714"/>
      <c r="J123" s="715"/>
      <c r="K123" s="715"/>
      <c r="L123" s="715"/>
      <c r="M123" s="714">
        <v>32000</v>
      </c>
      <c r="N123" s="714">
        <v>24000</v>
      </c>
      <c r="O123" s="714"/>
      <c r="P123" s="714"/>
      <c r="Q123" s="714"/>
      <c r="R123" s="130">
        <f>TRUNC(MIN(H123,I123,K123,M123,N123,O123,P123,Q123))</f>
        <v>24000</v>
      </c>
      <c r="S123" s="130">
        <f>TRUNC(R123*$T$4%)</f>
        <v>24000</v>
      </c>
      <c r="T123" s="775"/>
      <c r="U123" s="761"/>
      <c r="V123" s="700" t="e">
        <f>VLOOKUP("단가"&amp;$B:$B&amp;"번",일위!Q:Q,1,FALSE)</f>
        <v>#N/A</v>
      </c>
      <c r="X123" s="472" t="str">
        <f>VLOOKUP(A123,내역!I:I,1,FALSE)</f>
        <v>아크릴 스카시_문자H:80mm, T:5mm, 영문EA</v>
      </c>
      <c r="Y123" s="472"/>
      <c r="Z123" s="775"/>
      <c r="AA123" s="758"/>
      <c r="AB123" s="775"/>
      <c r="AC123" s="778"/>
      <c r="AD123" s="781"/>
      <c r="AE123" s="777"/>
      <c r="AF123" s="758"/>
      <c r="AG123" s="758"/>
      <c r="AH123" s="778"/>
      <c r="AI123" s="778"/>
      <c r="AK123" s="700" t="s">
        <v>1451</v>
      </c>
    </row>
    <row r="124" spans="1:37" s="700" customFormat="1" ht="19.5" customHeight="1" x14ac:dyDescent="0.15">
      <c r="A124" s="700" t="str">
        <f>CONCATENATE(D124,F124,G124)</f>
        <v>DID MULTI MONITOR55" Full-HD,Silm BezelEA</v>
      </c>
      <c r="B124" s="864">
        <f t="shared" si="99"/>
        <v>117</v>
      </c>
      <c r="C124" s="711"/>
      <c r="D124" s="629" t="s">
        <v>1491</v>
      </c>
      <c r="E124" s="670"/>
      <c r="F124" s="629" t="s">
        <v>1493</v>
      </c>
      <c r="G124" s="207" t="s">
        <v>1494</v>
      </c>
      <c r="H124" s="714"/>
      <c r="I124" s="714"/>
      <c r="J124" s="715"/>
      <c r="K124" s="715"/>
      <c r="L124" s="715"/>
      <c r="M124" s="714">
        <v>3000000</v>
      </c>
      <c r="N124" s="714">
        <v>2400000</v>
      </c>
      <c r="O124" s="714"/>
      <c r="P124" s="714"/>
      <c r="Q124" s="714"/>
      <c r="R124" s="130">
        <f>TRUNC(MIN(H124,I124,K124,M124,N124,O124,P124,Q124))</f>
        <v>2400000</v>
      </c>
      <c r="S124" s="130">
        <f>TRUNC(R124*$T$4%)</f>
        <v>2400000</v>
      </c>
      <c r="T124" s="775"/>
      <c r="U124" s="761"/>
      <c r="V124" s="700" t="str">
        <f>VLOOKUP("단가"&amp;$B:$B&amp;"번",일위!Q:Q,1,FALSE)</f>
        <v>단가117번</v>
      </c>
      <c r="X124" s="472" t="str">
        <f>VLOOKUP(A124,내역!I:I,1,FALSE)</f>
        <v>DID MULTI MONITOR55" Full-HD,Silm BezelEA</v>
      </c>
      <c r="Y124" s="472"/>
      <c r="Z124" s="775"/>
      <c r="AA124" s="758"/>
      <c r="AB124" s="775"/>
      <c r="AC124" s="778"/>
      <c r="AD124" s="781"/>
      <c r="AE124" s="777"/>
      <c r="AF124" s="758"/>
      <c r="AG124" s="758"/>
      <c r="AH124" s="778"/>
      <c r="AI124" s="778"/>
      <c r="AK124" s="700" t="s">
        <v>1451</v>
      </c>
    </row>
    <row r="125" spans="1:37" s="700" customFormat="1" ht="19.5" customHeight="1" x14ac:dyDescent="0.15">
      <c r="A125" s="700" t="str">
        <f t="shared" ref="A125:A126" si="159">CONCATENATE(D125,F125,G125)</f>
        <v>MONITOR BRACKET벽부형, 대형EA</v>
      </c>
      <c r="B125" s="864">
        <f t="shared" si="99"/>
        <v>118</v>
      </c>
      <c r="C125" s="711"/>
      <c r="D125" s="629" t="s">
        <v>1495</v>
      </c>
      <c r="E125" s="670">
        <v>0</v>
      </c>
      <c r="F125" s="629" t="s">
        <v>1496</v>
      </c>
      <c r="G125" s="207" t="s">
        <v>352</v>
      </c>
      <c r="H125" s="714"/>
      <c r="I125" s="714">
        <v>300000</v>
      </c>
      <c r="J125" s="715" t="s">
        <v>1518</v>
      </c>
      <c r="K125" s="715">
        <v>300000</v>
      </c>
      <c r="L125" s="715" t="s">
        <v>1519</v>
      </c>
      <c r="M125" s="714">
        <v>250000</v>
      </c>
      <c r="N125" s="714">
        <v>220000</v>
      </c>
      <c r="O125" s="714"/>
      <c r="P125" s="714"/>
      <c r="Q125" s="714"/>
      <c r="R125" s="130">
        <f t="shared" ref="R125:R126" si="160">TRUNC(MIN(H125,I125,K125,M125,N125,O125,P125,Q125))</f>
        <v>220000</v>
      </c>
      <c r="S125" s="130">
        <f t="shared" ref="S125:S126" si="161">TRUNC(R125*$T$4%)</f>
        <v>220000</v>
      </c>
      <c r="T125" s="775"/>
      <c r="U125" s="761"/>
      <c r="V125" s="700" t="str">
        <f>VLOOKUP("단가"&amp;$B:$B&amp;"번",일위!Q:Q,1,FALSE)</f>
        <v>단가118번</v>
      </c>
      <c r="X125" s="472" t="str">
        <f>VLOOKUP(A125,내역!I:I,1,FALSE)</f>
        <v>MONITOR BRACKET벽부형, 대형EA</v>
      </c>
      <c r="Y125" s="472"/>
      <c r="Z125" s="775"/>
      <c r="AA125" s="758"/>
      <c r="AB125" s="775"/>
      <c r="AC125" s="778"/>
      <c r="AD125" s="781"/>
      <c r="AE125" s="777"/>
      <c r="AF125" s="758"/>
      <c r="AG125" s="758"/>
      <c r="AH125" s="778"/>
      <c r="AI125" s="778"/>
      <c r="AK125" s="700" t="s">
        <v>1451</v>
      </c>
    </row>
    <row r="126" spans="1:37" s="700" customFormat="1" ht="19.5" customHeight="1" x14ac:dyDescent="0.15">
      <c r="A126" s="700" t="str">
        <f t="shared" si="159"/>
        <v>CONTROL COMPUTERi7EA</v>
      </c>
      <c r="B126" s="864">
        <f t="shared" si="99"/>
        <v>119</v>
      </c>
      <c r="C126" s="711"/>
      <c r="D126" s="629" t="s">
        <v>1497</v>
      </c>
      <c r="E126" s="670"/>
      <c r="F126" s="629" t="s">
        <v>1498</v>
      </c>
      <c r="G126" s="207" t="s">
        <v>352</v>
      </c>
      <c r="H126" s="714"/>
      <c r="I126" s="714"/>
      <c r="J126" s="715"/>
      <c r="K126" s="715"/>
      <c r="L126" s="715"/>
      <c r="M126" s="714">
        <v>1200000</v>
      </c>
      <c r="N126" s="714">
        <v>950000</v>
      </c>
      <c r="O126" s="714"/>
      <c r="P126" s="714"/>
      <c r="Q126" s="714"/>
      <c r="R126" s="130">
        <f t="shared" si="160"/>
        <v>950000</v>
      </c>
      <c r="S126" s="130">
        <f t="shared" si="161"/>
        <v>950000</v>
      </c>
      <c r="T126" s="775"/>
      <c r="U126" s="761"/>
      <c r="V126" s="700" t="str">
        <f>VLOOKUP("단가"&amp;$B:$B&amp;"번",일위!Q:Q,1,FALSE)</f>
        <v>단가119번</v>
      </c>
      <c r="X126" s="472" t="str">
        <f>VLOOKUP(A126,내역!I:I,1,FALSE)</f>
        <v>CONTROL COMPUTERi7EA</v>
      </c>
      <c r="Y126" s="472"/>
      <c r="Z126" s="775"/>
      <c r="AA126" s="758"/>
      <c r="AB126" s="775"/>
      <c r="AC126" s="778"/>
      <c r="AD126" s="781"/>
      <c r="AE126" s="777"/>
      <c r="AF126" s="758"/>
      <c r="AG126" s="758"/>
      <c r="AH126" s="778"/>
      <c r="AI126" s="778"/>
      <c r="AK126" s="700" t="s">
        <v>1451</v>
      </c>
    </row>
    <row r="127" spans="1:37" s="700" customFormat="1" ht="19.5" customHeight="1" x14ac:dyDescent="0.15">
      <c r="A127" s="700" t="str">
        <f t="shared" ref="A127" si="162">CONCATENATE(D127,F127,G127)</f>
        <v>순차전원공급기8CHEA</v>
      </c>
      <c r="B127" s="864">
        <f t="shared" si="99"/>
        <v>120</v>
      </c>
      <c r="C127" s="711"/>
      <c r="D127" s="629" t="s">
        <v>1526</v>
      </c>
      <c r="E127" s="670">
        <v>0</v>
      </c>
      <c r="F127" s="629" t="s">
        <v>1531</v>
      </c>
      <c r="G127" s="207" t="s">
        <v>352</v>
      </c>
      <c r="H127" s="714"/>
      <c r="I127" s="714"/>
      <c r="J127" s="715"/>
      <c r="K127" s="715">
        <v>420000</v>
      </c>
      <c r="L127" s="715" t="s">
        <v>1532</v>
      </c>
      <c r="M127" s="714">
        <v>450000</v>
      </c>
      <c r="N127" s="714">
        <v>600000</v>
      </c>
      <c r="O127" s="714"/>
      <c r="P127" s="714"/>
      <c r="Q127" s="714"/>
      <c r="R127" s="130">
        <f t="shared" ref="R127" si="163">TRUNC(MIN(H127,I127,K127,M127,N127,O127,P127,Q127))</f>
        <v>420000</v>
      </c>
      <c r="S127" s="130">
        <f t="shared" ref="S127" si="164">TRUNC(R127*$T$4%)</f>
        <v>420000</v>
      </c>
      <c r="T127" s="775"/>
      <c r="U127" s="761"/>
      <c r="V127" s="700" t="str">
        <f>VLOOKUP("단가"&amp;$B:$B&amp;"번",일위!Q:Q,1,FALSE)</f>
        <v>단가120번</v>
      </c>
      <c r="X127" s="472" t="e">
        <f>VLOOKUP(A127,내역!I:I,1,FALSE)</f>
        <v>#N/A</v>
      </c>
      <c r="Y127" s="472"/>
      <c r="Z127" s="775"/>
      <c r="AA127" s="758"/>
      <c r="AB127" s="775"/>
      <c r="AC127" s="778"/>
      <c r="AD127" s="781"/>
      <c r="AE127" s="777"/>
      <c r="AF127" s="758"/>
      <c r="AG127" s="758"/>
      <c r="AH127" s="778"/>
      <c r="AI127" s="778"/>
      <c r="AK127" s="700" t="s">
        <v>1451</v>
      </c>
    </row>
    <row r="128" spans="1:37" s="700" customFormat="1" ht="19.5" customHeight="1" x14ac:dyDescent="0.15">
      <c r="A128" s="700" t="str">
        <f>CONCATENATE(D128,F128,G128)</f>
        <v>Sequence power switcherEA</v>
      </c>
      <c r="B128" s="864">
        <f t="shared" si="99"/>
        <v>121</v>
      </c>
      <c r="C128" s="711"/>
      <c r="D128" s="629" t="s">
        <v>1528</v>
      </c>
      <c r="E128" s="670"/>
      <c r="F128" s="629"/>
      <c r="G128" s="207" t="s">
        <v>352</v>
      </c>
      <c r="H128" s="714"/>
      <c r="I128" s="714"/>
      <c r="J128" s="715"/>
      <c r="K128" s="715"/>
      <c r="L128" s="715"/>
      <c r="M128" s="714">
        <v>450000</v>
      </c>
      <c r="N128" s="714">
        <v>480000</v>
      </c>
      <c r="O128" s="714"/>
      <c r="P128" s="714"/>
      <c r="Q128" s="714"/>
      <c r="R128" s="130">
        <f>TRUNC(MIN(H128,I128,K128,M128,N128,O128,P128,Q128))</f>
        <v>450000</v>
      </c>
      <c r="S128" s="130">
        <f>TRUNC(R128*$T$4%)</f>
        <v>450000</v>
      </c>
      <c r="T128" s="775"/>
      <c r="U128" s="761"/>
      <c r="V128" s="700" t="str">
        <f>VLOOKUP("단가"&amp;$B:$B&amp;"번",일위!Q:Q,1,FALSE)</f>
        <v>단가121번</v>
      </c>
      <c r="X128" s="472" t="str">
        <f>VLOOKUP(A128,내역!I:I,1,FALSE)</f>
        <v>Sequence power switcherEA</v>
      </c>
      <c r="Y128" s="472"/>
      <c r="Z128" s="775"/>
      <c r="AA128" s="758"/>
      <c r="AB128" s="775"/>
      <c r="AC128" s="778"/>
      <c r="AD128" s="781"/>
      <c r="AE128" s="777"/>
      <c r="AF128" s="758"/>
      <c r="AG128" s="758"/>
      <c r="AH128" s="778"/>
      <c r="AI128" s="778"/>
      <c r="AK128" s="700" t="s">
        <v>1451</v>
      </c>
    </row>
    <row r="129" spans="1:37" s="700" customFormat="1" ht="19.5" customHeight="1" x14ac:dyDescent="0.15">
      <c r="A129" s="700" t="str">
        <f>CONCATENATE(D129,F129,G129)</f>
        <v>BUTTON CONTROLLER제작EA</v>
      </c>
      <c r="B129" s="864">
        <f t="shared" si="99"/>
        <v>122</v>
      </c>
      <c r="C129" s="711"/>
      <c r="D129" s="629" t="s">
        <v>1529</v>
      </c>
      <c r="E129" s="670"/>
      <c r="F129" s="629" t="s">
        <v>1530</v>
      </c>
      <c r="G129" s="207" t="s">
        <v>352</v>
      </c>
      <c r="H129" s="714"/>
      <c r="I129" s="714"/>
      <c r="J129" s="715"/>
      <c r="K129" s="715"/>
      <c r="L129" s="715"/>
      <c r="M129" s="714">
        <v>900000</v>
      </c>
      <c r="N129" s="714">
        <v>1550000</v>
      </c>
      <c r="O129" s="714"/>
      <c r="P129" s="714"/>
      <c r="Q129" s="714"/>
      <c r="R129" s="130">
        <f>TRUNC(MIN(H129,I129,K129,M129,N129,O129,P129,Q129))</f>
        <v>900000</v>
      </c>
      <c r="S129" s="130">
        <f>TRUNC(R129*$T$4%)</f>
        <v>900000</v>
      </c>
      <c r="T129" s="775"/>
      <c r="U129" s="761"/>
      <c r="V129" s="700" t="str">
        <f>VLOOKUP("단가"&amp;$B:$B&amp;"번",일위!Q:Q,1,FALSE)</f>
        <v>단가122번</v>
      </c>
      <c r="X129" s="472" t="str">
        <f>VLOOKUP(A129,내역!I:I,1,FALSE)</f>
        <v>BUTTON CONTROLLER제작EA</v>
      </c>
      <c r="Y129" s="472"/>
      <c r="Z129" s="775"/>
      <c r="AA129" s="758"/>
      <c r="AB129" s="775"/>
      <c r="AC129" s="778"/>
      <c r="AD129" s="781"/>
      <c r="AE129" s="777"/>
      <c r="AF129" s="758"/>
      <c r="AG129" s="758"/>
      <c r="AH129" s="778"/>
      <c r="AI129" s="778"/>
      <c r="AK129" s="700" t="s">
        <v>1451</v>
      </c>
    </row>
    <row r="130" spans="1:37" s="700" customFormat="1" ht="19.5" customHeight="1" x14ac:dyDescent="0.15">
      <c r="A130" s="700" t="str">
        <f>CONCATENATE(D130,F130,G130)</f>
        <v>POWER AMP70W+70WEA</v>
      </c>
      <c r="B130" s="864">
        <f t="shared" si="99"/>
        <v>123</v>
      </c>
      <c r="C130" s="711"/>
      <c r="D130" s="629" t="s">
        <v>1499</v>
      </c>
      <c r="E130" s="670"/>
      <c r="F130" s="629" t="s">
        <v>1500</v>
      </c>
      <c r="G130" s="207" t="s">
        <v>352</v>
      </c>
      <c r="H130" s="714"/>
      <c r="I130" s="714"/>
      <c r="J130" s="715"/>
      <c r="K130" s="715"/>
      <c r="L130" s="715"/>
      <c r="M130" s="714">
        <v>400000</v>
      </c>
      <c r="N130" s="714">
        <v>440000</v>
      </c>
      <c r="O130" s="714"/>
      <c r="P130" s="714"/>
      <c r="Q130" s="714"/>
      <c r="R130" s="130">
        <f>TRUNC(MIN(H130,I130,K130,M130,N130,O130,P130,Q130))</f>
        <v>400000</v>
      </c>
      <c r="S130" s="130">
        <f>TRUNC(R130*$T$4%)</f>
        <v>400000</v>
      </c>
      <c r="T130" s="775"/>
      <c r="U130" s="761"/>
      <c r="V130" s="700" t="str">
        <f>VLOOKUP("단가"&amp;$B:$B&amp;"번",일위!Q:Q,1,FALSE)</f>
        <v>단가123번</v>
      </c>
      <c r="X130" s="472" t="str">
        <f>VLOOKUP(A130,내역!I:I,1,FALSE)</f>
        <v>POWER AMP70W+70WEA</v>
      </c>
      <c r="Y130" s="472"/>
      <c r="Z130" s="775"/>
      <c r="AA130" s="758"/>
      <c r="AB130" s="775"/>
      <c r="AC130" s="778"/>
      <c r="AD130" s="781"/>
      <c r="AE130" s="777"/>
      <c r="AF130" s="758"/>
      <c r="AG130" s="758"/>
      <c r="AH130" s="778"/>
      <c r="AI130" s="778"/>
      <c r="AK130" s="700" t="s">
        <v>1451</v>
      </c>
    </row>
    <row r="131" spans="1:37" s="700" customFormat="1" ht="19.5" customHeight="1" x14ac:dyDescent="0.15">
      <c r="A131" s="700" t="str">
        <f>CONCATENATE(D131,F131,G131)</f>
        <v>PC SPEAKERPoweredEA</v>
      </c>
      <c r="B131" s="864">
        <f t="shared" si="99"/>
        <v>124</v>
      </c>
      <c r="C131" s="711"/>
      <c r="D131" s="629" t="s">
        <v>1501</v>
      </c>
      <c r="E131" s="670"/>
      <c r="F131" s="629" t="s">
        <v>1502</v>
      </c>
      <c r="G131" s="207" t="s">
        <v>352</v>
      </c>
      <c r="H131" s="714"/>
      <c r="I131" s="714"/>
      <c r="J131" s="715"/>
      <c r="K131" s="715"/>
      <c r="L131" s="715"/>
      <c r="M131" s="714">
        <v>40000</v>
      </c>
      <c r="N131" s="714">
        <v>48000</v>
      </c>
      <c r="O131" s="714"/>
      <c r="P131" s="714"/>
      <c r="Q131" s="714"/>
      <c r="R131" s="130">
        <f>TRUNC(MIN(H131,I131,K131,M131,N131,O131,P131,Q131))</f>
        <v>40000</v>
      </c>
      <c r="S131" s="130">
        <f>TRUNC(R131*$T$4%)</f>
        <v>40000</v>
      </c>
      <c r="T131" s="775"/>
      <c r="U131" s="761"/>
      <c r="V131" s="700" t="e">
        <f>VLOOKUP("단가"&amp;$B:$B&amp;"번",일위!Q:Q,1,FALSE)</f>
        <v>#N/A</v>
      </c>
      <c r="X131" s="472" t="str">
        <f>VLOOKUP(A131,내역!I:I,1,FALSE)</f>
        <v>PC SPEAKERPoweredEA</v>
      </c>
      <c r="Y131" s="472"/>
      <c r="Z131" s="775"/>
      <c r="AA131" s="758"/>
      <c r="AB131" s="775"/>
      <c r="AC131" s="778"/>
      <c r="AD131" s="781"/>
      <c r="AE131" s="777"/>
      <c r="AF131" s="758"/>
      <c r="AG131" s="758"/>
      <c r="AH131" s="778"/>
      <c r="AI131" s="778"/>
      <c r="AK131" s="700" t="s">
        <v>1451</v>
      </c>
    </row>
    <row r="132" spans="1:37" s="700" customFormat="1" ht="19.5" customHeight="1" x14ac:dyDescent="0.15">
      <c r="B132" s="821"/>
      <c r="C132" s="711"/>
      <c r="D132" s="712"/>
      <c r="E132" s="713"/>
      <c r="F132" s="712"/>
      <c r="G132" s="737"/>
      <c r="H132" s="714"/>
      <c r="I132" s="714"/>
      <c r="J132" s="715"/>
      <c r="K132" s="715"/>
      <c r="L132" s="715"/>
      <c r="M132" s="714"/>
      <c r="N132" s="714"/>
      <c r="O132" s="714"/>
      <c r="P132" s="714"/>
      <c r="Q132" s="714"/>
      <c r="R132" s="130"/>
      <c r="S132" s="130"/>
      <c r="T132" s="775"/>
      <c r="U132" s="761"/>
      <c r="X132" s="472"/>
      <c r="Y132" s="472"/>
      <c r="Z132" s="775"/>
      <c r="AA132" s="758"/>
      <c r="AB132" s="775"/>
      <c r="AC132" s="778"/>
      <c r="AD132" s="781"/>
      <c r="AE132" s="777"/>
      <c r="AF132" s="758"/>
      <c r="AG132" s="758"/>
      <c r="AH132" s="778"/>
      <c r="AI132" s="778"/>
    </row>
    <row r="133" spans="1:37" ht="21" customHeight="1" x14ac:dyDescent="0.15">
      <c r="B133" s="699"/>
      <c r="C133" s="699"/>
      <c r="G133" s="699"/>
      <c r="H133" s="699"/>
      <c r="I133" s="699"/>
      <c r="J133" s="699"/>
      <c r="K133" s="699"/>
      <c r="L133" s="699"/>
      <c r="R133" s="699"/>
      <c r="S133" s="699"/>
      <c r="U133" s="172"/>
    </row>
    <row r="134" spans="1:37" ht="21" customHeight="1" x14ac:dyDescent="0.15">
      <c r="B134" s="699"/>
      <c r="C134" s="699"/>
      <c r="G134" s="699"/>
      <c r="H134" s="699"/>
      <c r="I134" s="699"/>
      <c r="J134" s="699"/>
      <c r="K134" s="699"/>
      <c r="L134" s="699"/>
      <c r="R134" s="699"/>
      <c r="S134" s="699"/>
      <c r="U134" s="172"/>
    </row>
    <row r="135" spans="1:37" ht="21" customHeight="1" x14ac:dyDescent="0.15">
      <c r="B135" s="699"/>
      <c r="C135" s="699"/>
      <c r="G135" s="699"/>
      <c r="H135" s="699"/>
      <c r="I135" s="699"/>
      <c r="J135" s="699"/>
      <c r="K135" s="699"/>
      <c r="L135" s="699"/>
      <c r="R135" s="699"/>
      <c r="S135" s="699"/>
      <c r="U135" s="172"/>
    </row>
    <row r="136" spans="1:37" ht="21" customHeight="1" x14ac:dyDescent="0.15">
      <c r="B136" s="699"/>
      <c r="C136" s="699"/>
      <c r="G136" s="699"/>
      <c r="H136" s="699"/>
      <c r="I136" s="699"/>
      <c r="J136" s="699"/>
      <c r="K136" s="699"/>
      <c r="L136" s="699"/>
      <c r="R136" s="699"/>
      <c r="S136" s="699"/>
      <c r="U136" s="172"/>
    </row>
    <row r="137" spans="1:37" ht="21" customHeight="1" x14ac:dyDescent="0.15">
      <c r="B137" s="699"/>
      <c r="C137" s="699"/>
      <c r="G137" s="699"/>
      <c r="H137" s="699"/>
      <c r="I137" s="699"/>
      <c r="J137" s="699"/>
      <c r="K137" s="699"/>
      <c r="L137" s="699"/>
      <c r="R137" s="699"/>
      <c r="S137" s="699"/>
      <c r="U137" s="172"/>
    </row>
    <row r="138" spans="1:37" ht="21" customHeight="1" x14ac:dyDescent="0.15">
      <c r="B138" s="699"/>
      <c r="C138" s="699"/>
      <c r="G138" s="699"/>
      <c r="H138" s="699"/>
      <c r="I138" s="699"/>
      <c r="J138" s="699"/>
      <c r="K138" s="699"/>
      <c r="L138" s="699"/>
      <c r="R138" s="699"/>
      <c r="S138" s="699"/>
      <c r="U138" s="172"/>
    </row>
    <row r="139" spans="1:37" ht="21" customHeight="1" x14ac:dyDescent="0.15">
      <c r="B139" s="699"/>
      <c r="C139" s="699"/>
      <c r="G139" s="699"/>
      <c r="H139" s="699"/>
      <c r="I139" s="699"/>
      <c r="J139" s="699"/>
      <c r="K139" s="699"/>
      <c r="L139" s="699"/>
      <c r="R139" s="699"/>
      <c r="S139" s="699"/>
      <c r="U139" s="172"/>
    </row>
    <row r="140" spans="1:37" ht="21" customHeight="1" x14ac:dyDescent="0.15">
      <c r="B140" s="699"/>
      <c r="C140" s="699"/>
      <c r="G140" s="699"/>
      <c r="H140" s="699"/>
      <c r="I140" s="699"/>
      <c r="J140" s="699"/>
      <c r="K140" s="699"/>
      <c r="L140" s="699"/>
      <c r="R140" s="699"/>
      <c r="S140" s="699"/>
      <c r="U140" s="172"/>
    </row>
    <row r="141" spans="1:37" ht="21" customHeight="1" x14ac:dyDescent="0.15">
      <c r="B141" s="699"/>
      <c r="C141" s="699"/>
      <c r="G141" s="699"/>
      <c r="H141" s="699"/>
      <c r="I141" s="699"/>
      <c r="J141" s="699"/>
      <c r="K141" s="699"/>
      <c r="L141" s="699"/>
      <c r="R141" s="699"/>
      <c r="S141" s="699"/>
      <c r="U141" s="172"/>
    </row>
    <row r="142" spans="1:37" ht="21" customHeight="1" x14ac:dyDescent="0.15">
      <c r="B142" s="699"/>
      <c r="C142" s="699"/>
      <c r="G142" s="699"/>
      <c r="H142" s="699"/>
      <c r="I142" s="699"/>
      <c r="J142" s="699"/>
      <c r="K142" s="699"/>
      <c r="L142" s="699"/>
      <c r="R142" s="699"/>
      <c r="S142" s="699"/>
      <c r="U142" s="172"/>
    </row>
    <row r="143" spans="1:37" ht="21" customHeight="1" x14ac:dyDescent="0.15">
      <c r="B143" s="699"/>
      <c r="C143" s="699"/>
      <c r="G143" s="699"/>
      <c r="H143" s="699"/>
      <c r="I143" s="699"/>
      <c r="J143" s="699"/>
      <c r="K143" s="699"/>
      <c r="L143" s="699"/>
      <c r="R143" s="699"/>
      <c r="S143" s="699"/>
      <c r="U143" s="172"/>
    </row>
    <row r="144" spans="1:37" ht="21" customHeight="1" x14ac:dyDescent="0.15">
      <c r="B144" s="699"/>
      <c r="C144" s="699"/>
      <c r="G144" s="699"/>
      <c r="H144" s="699"/>
      <c r="I144" s="699"/>
      <c r="J144" s="699"/>
      <c r="K144" s="699"/>
      <c r="L144" s="699"/>
      <c r="R144" s="699"/>
      <c r="S144" s="699"/>
      <c r="U144" s="172"/>
    </row>
    <row r="145" spans="2:35" ht="21" customHeight="1" x14ac:dyDescent="0.15">
      <c r="B145" s="699"/>
      <c r="C145" s="699"/>
      <c r="G145" s="699"/>
      <c r="H145" s="699"/>
      <c r="I145" s="699"/>
      <c r="J145" s="699"/>
      <c r="K145" s="699"/>
      <c r="L145" s="699"/>
      <c r="R145" s="699"/>
      <c r="S145" s="699"/>
      <c r="U145" s="172"/>
      <c r="X145" s="699"/>
      <c r="Y145" s="699"/>
      <c r="AA145" s="699"/>
      <c r="AB145" s="699"/>
      <c r="AC145" s="699"/>
      <c r="AD145" s="699"/>
      <c r="AF145" s="699"/>
      <c r="AG145" s="699"/>
      <c r="AH145" s="699"/>
      <c r="AI145" s="699"/>
    </row>
    <row r="146" spans="2:35" ht="21" customHeight="1" x14ac:dyDescent="0.15">
      <c r="B146" s="699"/>
      <c r="C146" s="699"/>
      <c r="G146" s="699"/>
      <c r="H146" s="699"/>
      <c r="I146" s="699"/>
      <c r="J146" s="699"/>
      <c r="K146" s="699"/>
      <c r="L146" s="699"/>
      <c r="R146" s="699"/>
      <c r="S146" s="699"/>
      <c r="U146" s="172"/>
      <c r="X146" s="699"/>
      <c r="Y146" s="699"/>
      <c r="AA146" s="699"/>
      <c r="AB146" s="699"/>
      <c r="AC146" s="699"/>
      <c r="AD146" s="699"/>
      <c r="AF146" s="699"/>
      <c r="AG146" s="699"/>
      <c r="AH146" s="699"/>
      <c r="AI146" s="699"/>
    </row>
    <row r="147" spans="2:35" ht="21" customHeight="1" x14ac:dyDescent="0.15">
      <c r="B147" s="699"/>
      <c r="C147" s="699"/>
      <c r="G147" s="699"/>
      <c r="H147" s="699"/>
      <c r="I147" s="699"/>
      <c r="J147" s="699"/>
      <c r="K147" s="699"/>
      <c r="L147" s="699"/>
      <c r="R147" s="699"/>
      <c r="S147" s="699"/>
      <c r="U147" s="172"/>
      <c r="X147" s="699"/>
      <c r="Y147" s="699"/>
      <c r="AA147" s="699"/>
      <c r="AB147" s="699"/>
      <c r="AC147" s="699"/>
      <c r="AD147" s="699"/>
      <c r="AF147" s="699"/>
      <c r="AG147" s="699"/>
      <c r="AH147" s="699"/>
      <c r="AI147" s="699"/>
    </row>
    <row r="148" spans="2:35" ht="21" customHeight="1" x14ac:dyDescent="0.15">
      <c r="B148" s="699"/>
      <c r="C148" s="699"/>
      <c r="G148" s="699"/>
      <c r="H148" s="699"/>
      <c r="I148" s="699"/>
      <c r="J148" s="699"/>
      <c r="K148" s="699"/>
      <c r="L148" s="699"/>
      <c r="R148" s="699"/>
      <c r="S148" s="699"/>
      <c r="U148" s="172"/>
      <c r="X148" s="699"/>
      <c r="Y148" s="699"/>
      <c r="AA148" s="699"/>
      <c r="AB148" s="699"/>
      <c r="AC148" s="699"/>
      <c r="AD148" s="699"/>
      <c r="AF148" s="699"/>
      <c r="AG148" s="699"/>
      <c r="AH148" s="699"/>
      <c r="AI148" s="699"/>
    </row>
    <row r="149" spans="2:35" ht="21" customHeight="1" x14ac:dyDescent="0.15">
      <c r="B149" s="699"/>
      <c r="C149" s="699"/>
      <c r="G149" s="699"/>
      <c r="H149" s="699"/>
      <c r="I149" s="699"/>
      <c r="J149" s="699"/>
      <c r="K149" s="699"/>
      <c r="L149" s="699"/>
      <c r="R149" s="699"/>
      <c r="S149" s="699"/>
      <c r="U149" s="172"/>
      <c r="X149" s="699"/>
      <c r="Y149" s="699"/>
      <c r="AA149" s="699"/>
      <c r="AB149" s="699"/>
      <c r="AC149" s="699"/>
      <c r="AD149" s="699"/>
      <c r="AF149" s="699"/>
      <c r="AG149" s="699"/>
      <c r="AH149" s="699"/>
      <c r="AI149" s="699"/>
    </row>
    <row r="150" spans="2:35" ht="21" customHeight="1" x14ac:dyDescent="0.15">
      <c r="B150" s="699"/>
      <c r="C150" s="699"/>
      <c r="G150" s="699"/>
      <c r="H150" s="699"/>
      <c r="I150" s="699"/>
      <c r="J150" s="699"/>
      <c r="K150" s="699"/>
      <c r="L150" s="699"/>
      <c r="R150" s="699"/>
      <c r="S150" s="699"/>
      <c r="U150" s="172"/>
      <c r="X150" s="699"/>
      <c r="Y150" s="699"/>
      <c r="AA150" s="699"/>
      <c r="AB150" s="699"/>
      <c r="AC150" s="699"/>
      <c r="AD150" s="699"/>
      <c r="AF150" s="699"/>
      <c r="AG150" s="699"/>
      <c r="AH150" s="699"/>
      <c r="AI150" s="699"/>
    </row>
    <row r="151" spans="2:35" ht="21" customHeight="1" x14ac:dyDescent="0.15">
      <c r="B151" s="699"/>
      <c r="C151" s="699"/>
      <c r="G151" s="699"/>
      <c r="H151" s="699"/>
      <c r="I151" s="699"/>
      <c r="J151" s="699"/>
      <c r="K151" s="699"/>
      <c r="L151" s="699"/>
      <c r="R151" s="699"/>
      <c r="S151" s="699"/>
      <c r="U151" s="172"/>
      <c r="X151" s="699"/>
      <c r="Y151" s="699"/>
      <c r="AA151" s="699"/>
      <c r="AB151" s="699"/>
      <c r="AC151" s="699"/>
      <c r="AD151" s="699"/>
      <c r="AF151" s="699"/>
      <c r="AG151" s="699"/>
      <c r="AH151" s="699"/>
      <c r="AI151" s="699"/>
    </row>
    <row r="152" spans="2:35" ht="21" customHeight="1" x14ac:dyDescent="0.15">
      <c r="B152" s="699"/>
      <c r="C152" s="699"/>
      <c r="G152" s="699"/>
      <c r="H152" s="699"/>
      <c r="I152" s="699"/>
      <c r="J152" s="699"/>
      <c r="K152" s="699"/>
      <c r="L152" s="699"/>
      <c r="R152" s="699"/>
      <c r="S152" s="699"/>
      <c r="U152" s="172"/>
      <c r="X152" s="699"/>
      <c r="Y152" s="699"/>
      <c r="AA152" s="699"/>
      <c r="AB152" s="699"/>
      <c r="AC152" s="699"/>
      <c r="AD152" s="699"/>
      <c r="AF152" s="699"/>
      <c r="AG152" s="699"/>
      <c r="AH152" s="699"/>
      <c r="AI152" s="699"/>
    </row>
    <row r="153" spans="2:35" ht="21" customHeight="1" x14ac:dyDescent="0.15">
      <c r="B153" s="699"/>
      <c r="C153" s="699"/>
      <c r="G153" s="699"/>
      <c r="H153" s="699"/>
      <c r="I153" s="699"/>
      <c r="J153" s="699"/>
      <c r="K153" s="699"/>
      <c r="L153" s="699"/>
      <c r="R153" s="699"/>
      <c r="S153" s="699"/>
      <c r="U153" s="172"/>
      <c r="X153" s="699"/>
      <c r="Y153" s="699"/>
      <c r="AA153" s="699"/>
      <c r="AB153" s="699"/>
      <c r="AC153" s="699"/>
      <c r="AD153" s="699"/>
      <c r="AF153" s="699"/>
      <c r="AG153" s="699"/>
      <c r="AH153" s="699"/>
      <c r="AI153" s="699"/>
    </row>
    <row r="154" spans="2:35" ht="21" customHeight="1" x14ac:dyDescent="0.15">
      <c r="B154" s="699"/>
      <c r="C154" s="699"/>
      <c r="G154" s="699"/>
      <c r="H154" s="699"/>
      <c r="I154" s="699"/>
      <c r="J154" s="699"/>
      <c r="K154" s="699"/>
      <c r="L154" s="699"/>
      <c r="R154" s="699"/>
      <c r="S154" s="699"/>
      <c r="U154" s="172"/>
      <c r="X154" s="699"/>
      <c r="Y154" s="699"/>
      <c r="AA154" s="699"/>
      <c r="AB154" s="699"/>
      <c r="AC154" s="699"/>
      <c r="AD154" s="699"/>
      <c r="AF154" s="699"/>
      <c r="AG154" s="699"/>
      <c r="AH154" s="699"/>
      <c r="AI154" s="699"/>
    </row>
    <row r="155" spans="2:35" ht="21" customHeight="1" x14ac:dyDescent="0.15">
      <c r="B155" s="699"/>
      <c r="C155" s="699"/>
      <c r="G155" s="699"/>
      <c r="H155" s="699"/>
      <c r="I155" s="699"/>
      <c r="J155" s="699"/>
      <c r="K155" s="699"/>
      <c r="L155" s="699"/>
      <c r="R155" s="699"/>
      <c r="S155" s="699"/>
      <c r="U155" s="172"/>
      <c r="X155" s="699"/>
      <c r="Y155" s="699"/>
      <c r="AA155" s="699"/>
      <c r="AB155" s="699"/>
      <c r="AC155" s="699"/>
      <c r="AD155" s="699"/>
      <c r="AF155" s="699"/>
      <c r="AG155" s="699"/>
      <c r="AH155" s="699"/>
      <c r="AI155" s="699"/>
    </row>
    <row r="156" spans="2:35" ht="21" customHeight="1" x14ac:dyDescent="0.15">
      <c r="B156" s="699"/>
      <c r="C156" s="699"/>
      <c r="G156" s="699"/>
      <c r="H156" s="699"/>
      <c r="I156" s="699"/>
      <c r="J156" s="699"/>
      <c r="K156" s="699"/>
      <c r="L156" s="699"/>
      <c r="R156" s="699"/>
      <c r="S156" s="699"/>
      <c r="U156" s="172"/>
      <c r="X156" s="699"/>
      <c r="Y156" s="699"/>
      <c r="AA156" s="699"/>
      <c r="AB156" s="699"/>
      <c r="AC156" s="699"/>
      <c r="AD156" s="699"/>
      <c r="AF156" s="699"/>
      <c r="AG156" s="699"/>
      <c r="AH156" s="699"/>
      <c r="AI156" s="699"/>
    </row>
    <row r="157" spans="2:35" ht="21" customHeight="1" x14ac:dyDescent="0.15">
      <c r="B157" s="699"/>
      <c r="C157" s="699"/>
      <c r="G157" s="699"/>
      <c r="H157" s="699"/>
      <c r="I157" s="699"/>
      <c r="J157" s="699"/>
      <c r="K157" s="699"/>
      <c r="L157" s="699"/>
      <c r="R157" s="699"/>
      <c r="S157" s="699"/>
      <c r="U157" s="172"/>
      <c r="X157" s="699"/>
      <c r="Y157" s="699"/>
      <c r="AA157" s="699"/>
      <c r="AB157" s="699"/>
      <c r="AC157" s="699"/>
      <c r="AD157" s="699"/>
      <c r="AF157" s="699"/>
      <c r="AG157" s="699"/>
      <c r="AH157" s="699"/>
      <c r="AI157" s="699"/>
    </row>
    <row r="158" spans="2:35" ht="21" customHeight="1" x14ac:dyDescent="0.15">
      <c r="B158" s="699"/>
      <c r="C158" s="699"/>
      <c r="G158" s="699"/>
      <c r="H158" s="699"/>
      <c r="I158" s="699"/>
      <c r="J158" s="699"/>
      <c r="K158" s="699"/>
      <c r="L158" s="699"/>
      <c r="R158" s="699"/>
      <c r="S158" s="699"/>
      <c r="U158" s="172"/>
      <c r="X158" s="699"/>
      <c r="Y158" s="699"/>
      <c r="AA158" s="699"/>
      <c r="AB158" s="699"/>
      <c r="AC158" s="699"/>
      <c r="AD158" s="699"/>
      <c r="AF158" s="699"/>
      <c r="AG158" s="699"/>
      <c r="AH158" s="699"/>
      <c r="AI158" s="699"/>
    </row>
    <row r="159" spans="2:35" ht="21" customHeight="1" x14ac:dyDescent="0.15">
      <c r="B159" s="699"/>
      <c r="C159" s="699"/>
      <c r="G159" s="699"/>
      <c r="H159" s="699"/>
      <c r="I159" s="699"/>
      <c r="J159" s="699"/>
      <c r="K159" s="699"/>
      <c r="L159" s="699"/>
      <c r="R159" s="699"/>
      <c r="S159" s="699"/>
      <c r="U159" s="172"/>
      <c r="X159" s="699"/>
      <c r="Y159" s="699"/>
      <c r="AA159" s="699"/>
      <c r="AB159" s="699"/>
      <c r="AC159" s="699"/>
      <c r="AD159" s="699"/>
      <c r="AF159" s="699"/>
      <c r="AG159" s="699"/>
      <c r="AH159" s="699"/>
      <c r="AI159" s="699"/>
    </row>
    <row r="160" spans="2:35" ht="21" customHeight="1" x14ac:dyDescent="0.15">
      <c r="B160" s="699"/>
      <c r="C160" s="699"/>
      <c r="G160" s="699"/>
      <c r="H160" s="699"/>
      <c r="I160" s="699"/>
      <c r="J160" s="699"/>
      <c r="K160" s="699"/>
      <c r="L160" s="699"/>
      <c r="R160" s="699"/>
      <c r="S160" s="699"/>
      <c r="U160" s="172"/>
      <c r="X160" s="699"/>
      <c r="Y160" s="699"/>
      <c r="AA160" s="699"/>
      <c r="AB160" s="699"/>
      <c r="AC160" s="699"/>
      <c r="AD160" s="699"/>
      <c r="AF160" s="699"/>
      <c r="AG160" s="699"/>
      <c r="AH160" s="699"/>
      <c r="AI160" s="699"/>
    </row>
    <row r="161" spans="2:35" ht="21" customHeight="1" x14ac:dyDescent="0.15">
      <c r="B161" s="699"/>
      <c r="C161" s="699"/>
      <c r="G161" s="699"/>
      <c r="H161" s="699"/>
      <c r="I161" s="699"/>
      <c r="J161" s="699"/>
      <c r="K161" s="699"/>
      <c r="L161" s="699"/>
      <c r="R161" s="699"/>
      <c r="S161" s="699"/>
      <c r="U161" s="172"/>
      <c r="X161" s="699"/>
      <c r="Y161" s="699"/>
      <c r="AA161" s="699"/>
      <c r="AB161" s="699"/>
      <c r="AC161" s="699"/>
      <c r="AD161" s="699"/>
      <c r="AF161" s="699"/>
      <c r="AG161" s="699"/>
      <c r="AH161" s="699"/>
      <c r="AI161" s="699"/>
    </row>
    <row r="162" spans="2:35" ht="21" customHeight="1" x14ac:dyDescent="0.15">
      <c r="B162" s="699"/>
      <c r="C162" s="699"/>
      <c r="G162" s="699"/>
      <c r="H162" s="699"/>
      <c r="I162" s="699"/>
      <c r="J162" s="699"/>
      <c r="K162" s="699"/>
      <c r="L162" s="699"/>
      <c r="R162" s="699"/>
      <c r="S162" s="699"/>
      <c r="U162" s="172"/>
      <c r="X162" s="699"/>
      <c r="Y162" s="699"/>
      <c r="AA162" s="699"/>
      <c r="AB162" s="699"/>
      <c r="AC162" s="699"/>
      <c r="AD162" s="699"/>
      <c r="AF162" s="699"/>
      <c r="AG162" s="699"/>
      <c r="AH162" s="699"/>
      <c r="AI162" s="699"/>
    </row>
    <row r="163" spans="2:35" ht="21" customHeight="1" x14ac:dyDescent="0.15">
      <c r="B163" s="699"/>
      <c r="C163" s="699"/>
      <c r="G163" s="699"/>
      <c r="H163" s="699"/>
      <c r="I163" s="699"/>
      <c r="J163" s="699"/>
      <c r="K163" s="699"/>
      <c r="L163" s="699"/>
      <c r="R163" s="699"/>
      <c r="S163" s="699"/>
      <c r="U163" s="172"/>
      <c r="X163" s="699"/>
      <c r="Y163" s="699"/>
      <c r="AA163" s="699"/>
      <c r="AB163" s="699"/>
      <c r="AC163" s="699"/>
      <c r="AD163" s="699"/>
      <c r="AF163" s="699"/>
      <c r="AG163" s="699"/>
      <c r="AH163" s="699"/>
      <c r="AI163" s="699"/>
    </row>
    <row r="164" spans="2:35" ht="21" customHeight="1" x14ac:dyDescent="0.15">
      <c r="B164" s="699"/>
      <c r="C164" s="699"/>
      <c r="G164" s="699"/>
      <c r="H164" s="699"/>
      <c r="I164" s="699"/>
      <c r="J164" s="699"/>
      <c r="K164" s="699"/>
      <c r="L164" s="699"/>
      <c r="R164" s="699"/>
      <c r="S164" s="699"/>
      <c r="U164" s="172"/>
      <c r="X164" s="699"/>
      <c r="Y164" s="699"/>
      <c r="AA164" s="699"/>
      <c r="AB164" s="699"/>
      <c r="AC164" s="699"/>
      <c r="AD164" s="699"/>
      <c r="AF164" s="699"/>
      <c r="AG164" s="699"/>
      <c r="AH164" s="699"/>
      <c r="AI164" s="699"/>
    </row>
    <row r="165" spans="2:35" ht="21" customHeight="1" x14ac:dyDescent="0.15">
      <c r="B165" s="699"/>
      <c r="C165" s="699"/>
      <c r="G165" s="699"/>
      <c r="H165" s="699"/>
      <c r="I165" s="699"/>
      <c r="J165" s="699"/>
      <c r="K165" s="699"/>
      <c r="L165" s="699"/>
      <c r="R165" s="699"/>
      <c r="S165" s="699"/>
      <c r="U165" s="172"/>
      <c r="X165" s="699"/>
      <c r="Y165" s="699"/>
      <c r="AA165" s="699"/>
      <c r="AB165" s="699"/>
      <c r="AC165" s="699"/>
      <c r="AD165" s="699"/>
      <c r="AF165" s="699"/>
      <c r="AG165" s="699"/>
      <c r="AH165" s="699"/>
      <c r="AI165" s="699"/>
    </row>
    <row r="166" spans="2:35" ht="21" customHeight="1" x14ac:dyDescent="0.15">
      <c r="B166" s="699"/>
      <c r="C166" s="699"/>
      <c r="G166" s="699"/>
      <c r="H166" s="699"/>
      <c r="I166" s="699"/>
      <c r="J166" s="699"/>
      <c r="K166" s="699"/>
      <c r="L166" s="699"/>
      <c r="R166" s="699"/>
      <c r="S166" s="699"/>
      <c r="U166" s="172"/>
      <c r="X166" s="699"/>
      <c r="Y166" s="699"/>
      <c r="AA166" s="699"/>
      <c r="AB166" s="699"/>
      <c r="AC166" s="699"/>
      <c r="AD166" s="699"/>
      <c r="AF166" s="699"/>
      <c r="AG166" s="699"/>
      <c r="AH166" s="699"/>
      <c r="AI166" s="699"/>
    </row>
    <row r="167" spans="2:35" ht="21" customHeight="1" x14ac:dyDescent="0.15">
      <c r="B167" s="699"/>
      <c r="C167" s="699"/>
      <c r="G167" s="699"/>
      <c r="H167" s="699"/>
      <c r="I167" s="699"/>
      <c r="J167" s="699"/>
      <c r="K167" s="699"/>
      <c r="L167" s="699"/>
      <c r="R167" s="699"/>
      <c r="S167" s="699"/>
      <c r="U167" s="172"/>
      <c r="X167" s="699"/>
      <c r="Y167" s="699"/>
      <c r="AA167" s="699"/>
      <c r="AB167" s="699"/>
      <c r="AC167" s="699"/>
      <c r="AD167" s="699"/>
      <c r="AF167" s="699"/>
      <c r="AG167" s="699"/>
      <c r="AH167" s="699"/>
      <c r="AI167" s="699"/>
    </row>
    <row r="168" spans="2:35" ht="21" customHeight="1" x14ac:dyDescent="0.15">
      <c r="B168" s="699"/>
      <c r="C168" s="699"/>
      <c r="G168" s="699"/>
      <c r="H168" s="699"/>
      <c r="I168" s="699"/>
      <c r="J168" s="699"/>
      <c r="K168" s="699"/>
      <c r="L168" s="699"/>
      <c r="R168" s="699"/>
      <c r="S168" s="699"/>
      <c r="U168" s="172"/>
      <c r="X168" s="699"/>
      <c r="Y168" s="699"/>
      <c r="AA168" s="699"/>
      <c r="AB168" s="699"/>
      <c r="AC168" s="699"/>
      <c r="AD168" s="699"/>
      <c r="AF168" s="699"/>
      <c r="AG168" s="699"/>
      <c r="AH168" s="699"/>
      <c r="AI168" s="699"/>
    </row>
    <row r="169" spans="2:35" ht="21" customHeight="1" x14ac:dyDescent="0.15">
      <c r="B169" s="699"/>
      <c r="C169" s="699"/>
      <c r="G169" s="699"/>
      <c r="H169" s="699"/>
      <c r="I169" s="699"/>
      <c r="J169" s="699"/>
      <c r="K169" s="699"/>
      <c r="L169" s="699"/>
      <c r="R169" s="699"/>
      <c r="S169" s="699"/>
      <c r="U169" s="172"/>
      <c r="X169" s="699"/>
      <c r="Y169" s="699"/>
      <c r="AA169" s="699"/>
      <c r="AB169" s="699"/>
      <c r="AC169" s="699"/>
      <c r="AD169" s="699"/>
      <c r="AF169" s="699"/>
      <c r="AG169" s="699"/>
      <c r="AH169" s="699"/>
      <c r="AI169" s="699"/>
    </row>
    <row r="170" spans="2:35" ht="21" customHeight="1" x14ac:dyDescent="0.15">
      <c r="B170" s="699"/>
      <c r="C170" s="699"/>
      <c r="G170" s="699"/>
      <c r="H170" s="699"/>
      <c r="I170" s="699"/>
      <c r="J170" s="699"/>
      <c r="K170" s="699"/>
      <c r="L170" s="699"/>
      <c r="R170" s="699"/>
      <c r="S170" s="699"/>
      <c r="U170" s="172"/>
      <c r="X170" s="699"/>
      <c r="Y170" s="699"/>
      <c r="AA170" s="699"/>
      <c r="AB170" s="699"/>
      <c r="AC170" s="699"/>
      <c r="AD170" s="699"/>
      <c r="AF170" s="699"/>
      <c r="AG170" s="699"/>
      <c r="AH170" s="699"/>
      <c r="AI170" s="699"/>
    </row>
    <row r="171" spans="2:35" ht="21" customHeight="1" x14ac:dyDescent="0.15">
      <c r="B171" s="699"/>
      <c r="C171" s="699"/>
      <c r="G171" s="699"/>
      <c r="H171" s="699"/>
      <c r="I171" s="699"/>
      <c r="J171" s="699"/>
      <c r="K171" s="699"/>
      <c r="L171" s="699"/>
      <c r="R171" s="699"/>
      <c r="S171" s="699"/>
      <c r="U171" s="172"/>
      <c r="X171" s="699"/>
      <c r="Y171" s="699"/>
      <c r="AA171" s="699"/>
      <c r="AB171" s="699"/>
      <c r="AC171" s="699"/>
      <c r="AD171" s="699"/>
      <c r="AF171" s="699"/>
      <c r="AG171" s="699"/>
      <c r="AH171" s="699"/>
      <c r="AI171" s="699"/>
    </row>
    <row r="172" spans="2:35" ht="21" customHeight="1" x14ac:dyDescent="0.15">
      <c r="B172" s="699"/>
      <c r="C172" s="699"/>
      <c r="G172" s="699"/>
      <c r="H172" s="699"/>
      <c r="I172" s="699"/>
      <c r="J172" s="699"/>
      <c r="K172" s="699"/>
      <c r="L172" s="699"/>
      <c r="R172" s="699"/>
      <c r="S172" s="699"/>
      <c r="U172" s="172"/>
      <c r="X172" s="699"/>
      <c r="Y172" s="699"/>
      <c r="AA172" s="699"/>
      <c r="AB172" s="699"/>
      <c r="AC172" s="699"/>
      <c r="AD172" s="699"/>
      <c r="AF172" s="699"/>
      <c r="AG172" s="699"/>
      <c r="AH172" s="699"/>
      <c r="AI172" s="699"/>
    </row>
    <row r="173" spans="2:35" ht="21" customHeight="1" x14ac:dyDescent="0.15">
      <c r="B173" s="699"/>
      <c r="C173" s="699"/>
      <c r="G173" s="699"/>
      <c r="H173" s="699"/>
      <c r="I173" s="699"/>
      <c r="J173" s="699"/>
      <c r="K173" s="699"/>
      <c r="L173" s="699"/>
      <c r="R173" s="699"/>
      <c r="S173" s="699"/>
      <c r="U173" s="172"/>
      <c r="X173" s="699"/>
      <c r="Y173" s="699"/>
      <c r="AA173" s="699"/>
      <c r="AB173" s="699"/>
      <c r="AC173" s="699"/>
      <c r="AD173" s="699"/>
      <c r="AF173" s="699"/>
      <c r="AG173" s="699"/>
      <c r="AH173" s="699"/>
      <c r="AI173" s="699"/>
    </row>
    <row r="174" spans="2:35" ht="21" customHeight="1" x14ac:dyDescent="0.15">
      <c r="B174" s="699"/>
      <c r="C174" s="699"/>
      <c r="G174" s="699"/>
      <c r="H174" s="699"/>
      <c r="I174" s="699"/>
      <c r="J174" s="699"/>
      <c r="K174" s="699"/>
      <c r="L174" s="699"/>
      <c r="R174" s="699"/>
      <c r="S174" s="699"/>
      <c r="U174" s="172"/>
      <c r="X174" s="699"/>
      <c r="Y174" s="699"/>
      <c r="AA174" s="699"/>
      <c r="AB174" s="699"/>
      <c r="AC174" s="699"/>
      <c r="AD174" s="699"/>
      <c r="AF174" s="699"/>
      <c r="AG174" s="699"/>
      <c r="AH174" s="699"/>
      <c r="AI174" s="699"/>
    </row>
    <row r="175" spans="2:35" ht="21" customHeight="1" x14ac:dyDescent="0.15">
      <c r="B175" s="699"/>
      <c r="C175" s="699"/>
      <c r="G175" s="699"/>
      <c r="H175" s="699"/>
      <c r="I175" s="699"/>
      <c r="J175" s="699"/>
      <c r="K175" s="699"/>
      <c r="L175" s="699"/>
      <c r="R175" s="699"/>
      <c r="S175" s="699"/>
      <c r="U175" s="172"/>
      <c r="X175" s="699"/>
      <c r="Y175" s="699"/>
      <c r="AA175" s="699"/>
      <c r="AB175" s="699"/>
      <c r="AC175" s="699"/>
      <c r="AD175" s="699"/>
      <c r="AF175" s="699"/>
      <c r="AG175" s="699"/>
      <c r="AH175" s="699"/>
      <c r="AI175" s="699"/>
    </row>
    <row r="176" spans="2:35" ht="21" customHeight="1" x14ac:dyDescent="0.15">
      <c r="B176" s="699"/>
      <c r="C176" s="699"/>
      <c r="G176" s="699"/>
      <c r="H176" s="699"/>
      <c r="I176" s="699"/>
      <c r="J176" s="699"/>
      <c r="K176" s="699"/>
      <c r="L176" s="699"/>
      <c r="R176" s="699"/>
      <c r="S176" s="699"/>
      <c r="U176" s="172"/>
      <c r="X176" s="699"/>
      <c r="Y176" s="699"/>
      <c r="AA176" s="699"/>
      <c r="AB176" s="699"/>
      <c r="AC176" s="699"/>
      <c r="AD176" s="699"/>
      <c r="AF176" s="699"/>
      <c r="AG176" s="699"/>
      <c r="AH176" s="699"/>
      <c r="AI176" s="699"/>
    </row>
    <row r="177" spans="2:35" ht="21" customHeight="1" x14ac:dyDescent="0.15">
      <c r="B177" s="699"/>
      <c r="C177" s="699"/>
      <c r="G177" s="699"/>
      <c r="H177" s="699"/>
      <c r="I177" s="699"/>
      <c r="J177" s="699"/>
      <c r="K177" s="699"/>
      <c r="L177" s="699"/>
      <c r="R177" s="699"/>
      <c r="S177" s="699"/>
      <c r="U177" s="172"/>
      <c r="X177" s="699"/>
      <c r="Y177" s="699"/>
      <c r="AA177" s="699"/>
      <c r="AB177" s="699"/>
      <c r="AC177" s="699"/>
      <c r="AD177" s="699"/>
      <c r="AF177" s="699"/>
      <c r="AG177" s="699"/>
      <c r="AH177" s="699"/>
      <c r="AI177" s="699"/>
    </row>
    <row r="178" spans="2:35" ht="21" customHeight="1" x14ac:dyDescent="0.15">
      <c r="B178" s="699"/>
      <c r="C178" s="699"/>
      <c r="G178" s="699"/>
      <c r="H178" s="699"/>
      <c r="I178" s="699"/>
      <c r="J178" s="699"/>
      <c r="K178" s="699"/>
      <c r="L178" s="699"/>
      <c r="R178" s="699"/>
      <c r="S178" s="699"/>
      <c r="U178" s="172"/>
      <c r="X178" s="699"/>
      <c r="Y178" s="699"/>
      <c r="AA178" s="699"/>
      <c r="AB178" s="699"/>
      <c r="AC178" s="699"/>
      <c r="AD178" s="699"/>
      <c r="AF178" s="699"/>
      <c r="AG178" s="699"/>
      <c r="AH178" s="699"/>
      <c r="AI178" s="699"/>
    </row>
    <row r="179" spans="2:35" ht="21" customHeight="1" x14ac:dyDescent="0.15">
      <c r="B179" s="699"/>
      <c r="C179" s="699"/>
      <c r="G179" s="699"/>
      <c r="H179" s="699"/>
      <c r="I179" s="699"/>
      <c r="J179" s="699"/>
      <c r="K179" s="699"/>
      <c r="L179" s="699"/>
      <c r="R179" s="699"/>
      <c r="S179" s="699"/>
      <c r="U179" s="172"/>
      <c r="X179" s="699"/>
      <c r="Y179" s="699"/>
      <c r="AA179" s="699"/>
      <c r="AB179" s="699"/>
      <c r="AC179" s="699"/>
      <c r="AD179" s="699"/>
      <c r="AF179" s="699"/>
      <c r="AG179" s="699"/>
      <c r="AH179" s="699"/>
      <c r="AI179" s="699"/>
    </row>
    <row r="180" spans="2:35" ht="21" customHeight="1" x14ac:dyDescent="0.15">
      <c r="B180" s="699"/>
      <c r="C180" s="699"/>
      <c r="G180" s="699"/>
      <c r="H180" s="699"/>
      <c r="I180" s="699"/>
      <c r="J180" s="699"/>
      <c r="K180" s="699"/>
      <c r="L180" s="699"/>
      <c r="R180" s="699"/>
      <c r="S180" s="699"/>
      <c r="U180" s="172"/>
      <c r="X180" s="699"/>
      <c r="Y180" s="699"/>
      <c r="AA180" s="699"/>
      <c r="AB180" s="699"/>
      <c r="AC180" s="699"/>
      <c r="AD180" s="699"/>
      <c r="AF180" s="699"/>
      <c r="AG180" s="699"/>
      <c r="AH180" s="699"/>
      <c r="AI180" s="699"/>
    </row>
    <row r="181" spans="2:35" ht="21" customHeight="1" x14ac:dyDescent="0.15">
      <c r="B181" s="699"/>
      <c r="C181" s="699"/>
      <c r="G181" s="699"/>
      <c r="H181" s="699"/>
      <c r="I181" s="699"/>
      <c r="J181" s="699"/>
      <c r="K181" s="699"/>
      <c r="L181" s="699"/>
      <c r="R181" s="699"/>
      <c r="S181" s="699"/>
      <c r="U181" s="172"/>
      <c r="X181" s="699"/>
      <c r="Y181" s="699"/>
      <c r="AA181" s="699"/>
      <c r="AB181" s="699"/>
      <c r="AC181" s="699"/>
      <c r="AD181" s="699"/>
      <c r="AF181" s="699"/>
      <c r="AG181" s="699"/>
      <c r="AH181" s="699"/>
      <c r="AI181" s="699"/>
    </row>
    <row r="182" spans="2:35" ht="21" customHeight="1" x14ac:dyDescent="0.15">
      <c r="B182" s="699"/>
      <c r="C182" s="699"/>
      <c r="G182" s="699"/>
      <c r="H182" s="699"/>
      <c r="I182" s="699"/>
      <c r="J182" s="699"/>
      <c r="K182" s="699"/>
      <c r="L182" s="699"/>
      <c r="R182" s="699"/>
      <c r="S182" s="699"/>
      <c r="U182" s="172"/>
      <c r="X182" s="699"/>
      <c r="Y182" s="699"/>
      <c r="AA182" s="699"/>
      <c r="AB182" s="699"/>
      <c r="AC182" s="699"/>
      <c r="AD182" s="699"/>
      <c r="AF182" s="699"/>
      <c r="AG182" s="699"/>
      <c r="AH182" s="699"/>
      <c r="AI182" s="699"/>
    </row>
    <row r="183" spans="2:35" ht="21" customHeight="1" x14ac:dyDescent="0.15">
      <c r="B183" s="699"/>
      <c r="C183" s="699"/>
      <c r="G183" s="699"/>
      <c r="H183" s="699"/>
      <c r="I183" s="699"/>
      <c r="J183" s="699"/>
      <c r="K183" s="699"/>
      <c r="L183" s="699"/>
      <c r="R183" s="699"/>
      <c r="S183" s="699"/>
      <c r="U183" s="172"/>
      <c r="X183" s="699"/>
      <c r="Y183" s="699"/>
      <c r="AA183" s="699"/>
      <c r="AB183" s="699"/>
      <c r="AC183" s="699"/>
      <c r="AD183" s="699"/>
      <c r="AF183" s="699"/>
      <c r="AG183" s="699"/>
      <c r="AH183" s="699"/>
      <c r="AI183" s="699"/>
    </row>
    <row r="184" spans="2:35" ht="21" customHeight="1" x14ac:dyDescent="0.15">
      <c r="B184" s="699"/>
      <c r="C184" s="699"/>
      <c r="G184" s="699"/>
      <c r="H184" s="699"/>
      <c r="I184" s="699"/>
      <c r="J184" s="699"/>
      <c r="K184" s="699"/>
      <c r="L184" s="699"/>
      <c r="R184" s="699"/>
      <c r="S184" s="699"/>
      <c r="U184" s="172"/>
      <c r="X184" s="699"/>
      <c r="Y184" s="699"/>
      <c r="AA184" s="699"/>
      <c r="AB184" s="699"/>
      <c r="AC184" s="699"/>
      <c r="AD184" s="699"/>
      <c r="AF184" s="699"/>
      <c r="AG184" s="699"/>
      <c r="AH184" s="699"/>
      <c r="AI184" s="699"/>
    </row>
    <row r="185" spans="2:35" ht="21" customHeight="1" x14ac:dyDescent="0.15">
      <c r="B185" s="699"/>
      <c r="C185" s="699"/>
      <c r="G185" s="699"/>
      <c r="H185" s="699"/>
      <c r="I185" s="699"/>
      <c r="J185" s="699"/>
      <c r="K185" s="699"/>
      <c r="L185" s="699"/>
      <c r="R185" s="699"/>
      <c r="S185" s="699"/>
      <c r="U185" s="172"/>
      <c r="X185" s="699"/>
      <c r="Y185" s="699"/>
      <c r="AA185" s="699"/>
      <c r="AB185" s="699"/>
      <c r="AC185" s="699"/>
      <c r="AD185" s="699"/>
      <c r="AF185" s="699"/>
      <c r="AG185" s="699"/>
      <c r="AH185" s="699"/>
      <c r="AI185" s="699"/>
    </row>
    <row r="186" spans="2:35" ht="21" customHeight="1" x14ac:dyDescent="0.15">
      <c r="B186" s="699"/>
      <c r="C186" s="699"/>
      <c r="G186" s="699"/>
      <c r="H186" s="699"/>
      <c r="I186" s="699"/>
      <c r="J186" s="699"/>
      <c r="K186" s="699"/>
      <c r="L186" s="699"/>
      <c r="R186" s="699"/>
      <c r="S186" s="699"/>
      <c r="U186" s="172"/>
      <c r="X186" s="699"/>
      <c r="Y186" s="699"/>
      <c r="AA186" s="699"/>
      <c r="AB186" s="699"/>
      <c r="AC186" s="699"/>
      <c r="AD186" s="699"/>
      <c r="AF186" s="699"/>
      <c r="AG186" s="699"/>
      <c r="AH186" s="699"/>
      <c r="AI186" s="699"/>
    </row>
    <row r="187" spans="2:35" ht="21" customHeight="1" x14ac:dyDescent="0.15">
      <c r="B187" s="699"/>
      <c r="C187" s="699"/>
      <c r="G187" s="699"/>
      <c r="H187" s="699"/>
      <c r="I187" s="699"/>
      <c r="J187" s="699"/>
      <c r="K187" s="699"/>
      <c r="L187" s="699"/>
      <c r="R187" s="699"/>
      <c r="S187" s="699"/>
      <c r="U187" s="172"/>
      <c r="X187" s="699"/>
      <c r="Y187" s="699"/>
      <c r="AA187" s="699"/>
      <c r="AB187" s="699"/>
      <c r="AC187" s="699"/>
      <c r="AD187" s="699"/>
      <c r="AF187" s="699"/>
      <c r="AG187" s="699"/>
      <c r="AH187" s="699"/>
      <c r="AI187" s="699"/>
    </row>
    <row r="188" spans="2:35" ht="21" customHeight="1" x14ac:dyDescent="0.15">
      <c r="B188" s="699"/>
      <c r="C188" s="699"/>
      <c r="G188" s="699"/>
      <c r="H188" s="699"/>
      <c r="I188" s="699"/>
      <c r="J188" s="699"/>
      <c r="K188" s="699"/>
      <c r="L188" s="699"/>
      <c r="R188" s="699"/>
      <c r="S188" s="699"/>
      <c r="U188" s="172"/>
      <c r="X188" s="699"/>
      <c r="Y188" s="699"/>
      <c r="AA188" s="699"/>
      <c r="AB188" s="699"/>
      <c r="AC188" s="699"/>
      <c r="AD188" s="699"/>
      <c r="AF188" s="699"/>
      <c r="AG188" s="699"/>
      <c r="AH188" s="699"/>
      <c r="AI188" s="699"/>
    </row>
    <row r="189" spans="2:35" ht="21" customHeight="1" x14ac:dyDescent="0.15">
      <c r="B189" s="699"/>
      <c r="C189" s="699"/>
      <c r="G189" s="699"/>
      <c r="H189" s="699"/>
      <c r="I189" s="699"/>
      <c r="J189" s="699"/>
      <c r="K189" s="699"/>
      <c r="L189" s="699"/>
      <c r="R189" s="699"/>
      <c r="S189" s="699"/>
      <c r="U189" s="172"/>
      <c r="X189" s="699"/>
      <c r="Y189" s="699"/>
      <c r="AA189" s="699"/>
      <c r="AB189" s="699"/>
      <c r="AC189" s="699"/>
      <c r="AD189" s="699"/>
      <c r="AF189" s="699"/>
      <c r="AG189" s="699"/>
      <c r="AH189" s="699"/>
      <c r="AI189" s="699"/>
    </row>
    <row r="190" spans="2:35" ht="21" customHeight="1" x14ac:dyDescent="0.15">
      <c r="B190" s="699"/>
      <c r="C190" s="699"/>
      <c r="G190" s="699"/>
      <c r="H190" s="699"/>
      <c r="I190" s="699"/>
      <c r="J190" s="699"/>
      <c r="K190" s="699"/>
      <c r="L190" s="699"/>
      <c r="R190" s="699"/>
      <c r="S190" s="699"/>
      <c r="U190" s="172"/>
      <c r="X190" s="699"/>
      <c r="Y190" s="699"/>
      <c r="AA190" s="699"/>
      <c r="AB190" s="699"/>
      <c r="AC190" s="699"/>
      <c r="AD190" s="699"/>
      <c r="AF190" s="699"/>
      <c r="AG190" s="699"/>
      <c r="AH190" s="699"/>
      <c r="AI190" s="699"/>
    </row>
    <row r="191" spans="2:35" ht="21" customHeight="1" x14ac:dyDescent="0.15">
      <c r="B191" s="699"/>
      <c r="C191" s="699"/>
      <c r="G191" s="699"/>
      <c r="H191" s="699"/>
      <c r="I191" s="699"/>
      <c r="J191" s="699"/>
      <c r="K191" s="699"/>
      <c r="L191" s="699"/>
      <c r="R191" s="699"/>
      <c r="S191" s="699"/>
      <c r="U191" s="172"/>
      <c r="X191" s="699"/>
      <c r="Y191" s="699"/>
      <c r="AA191" s="699"/>
      <c r="AB191" s="699"/>
      <c r="AC191" s="699"/>
      <c r="AD191" s="699"/>
      <c r="AF191" s="699"/>
      <c r="AG191" s="699"/>
      <c r="AH191" s="699"/>
      <c r="AI191" s="699"/>
    </row>
    <row r="192" spans="2:35" ht="21" customHeight="1" x14ac:dyDescent="0.15">
      <c r="B192" s="699"/>
      <c r="C192" s="699"/>
      <c r="G192" s="699"/>
      <c r="H192" s="699"/>
      <c r="I192" s="699"/>
      <c r="J192" s="699"/>
      <c r="K192" s="699"/>
      <c r="L192" s="699"/>
      <c r="R192" s="699"/>
      <c r="S192" s="699"/>
      <c r="U192" s="172"/>
      <c r="X192" s="699"/>
      <c r="Y192" s="699"/>
      <c r="AA192" s="699"/>
      <c r="AB192" s="699"/>
      <c r="AC192" s="699"/>
      <c r="AD192" s="699"/>
      <c r="AF192" s="699"/>
      <c r="AG192" s="699"/>
      <c r="AH192" s="699"/>
      <c r="AI192" s="699"/>
    </row>
    <row r="193" spans="2:35" ht="21" customHeight="1" x14ac:dyDescent="0.15">
      <c r="B193" s="699"/>
      <c r="C193" s="699"/>
      <c r="G193" s="699"/>
      <c r="H193" s="699"/>
      <c r="I193" s="699"/>
      <c r="J193" s="699"/>
      <c r="K193" s="699"/>
      <c r="L193" s="699"/>
      <c r="R193" s="699"/>
      <c r="S193" s="699"/>
      <c r="U193" s="172"/>
      <c r="X193" s="699"/>
      <c r="Y193" s="699"/>
      <c r="AA193" s="699"/>
      <c r="AB193" s="699"/>
      <c r="AC193" s="699"/>
      <c r="AD193" s="699"/>
      <c r="AF193" s="699"/>
      <c r="AG193" s="699"/>
      <c r="AH193" s="699"/>
      <c r="AI193" s="699"/>
    </row>
    <row r="194" spans="2:35" ht="21" customHeight="1" x14ac:dyDescent="0.15">
      <c r="B194" s="699"/>
      <c r="C194" s="699"/>
      <c r="G194" s="699"/>
      <c r="H194" s="699"/>
      <c r="I194" s="699"/>
      <c r="J194" s="699"/>
      <c r="K194" s="699"/>
      <c r="L194" s="699"/>
      <c r="R194" s="699"/>
      <c r="S194" s="699"/>
      <c r="U194" s="172"/>
      <c r="X194" s="699"/>
      <c r="Y194" s="699"/>
      <c r="AA194" s="699"/>
      <c r="AB194" s="699"/>
      <c r="AC194" s="699"/>
      <c r="AD194" s="699"/>
      <c r="AF194" s="699"/>
      <c r="AG194" s="699"/>
      <c r="AH194" s="699"/>
      <c r="AI194" s="699"/>
    </row>
    <row r="195" spans="2:35" ht="21" customHeight="1" x14ac:dyDescent="0.15">
      <c r="B195" s="699"/>
      <c r="C195" s="699"/>
      <c r="G195" s="699"/>
      <c r="H195" s="699"/>
      <c r="I195" s="699"/>
      <c r="J195" s="699"/>
      <c r="K195" s="699"/>
      <c r="L195" s="699"/>
      <c r="R195" s="699"/>
      <c r="S195" s="699"/>
      <c r="U195" s="172"/>
      <c r="X195" s="699"/>
      <c r="Y195" s="699"/>
      <c r="AA195" s="699"/>
      <c r="AB195" s="699"/>
      <c r="AC195" s="699"/>
      <c r="AD195" s="699"/>
      <c r="AF195" s="699"/>
      <c r="AG195" s="699"/>
      <c r="AH195" s="699"/>
      <c r="AI195" s="699"/>
    </row>
    <row r="196" spans="2:35" ht="21" customHeight="1" x14ac:dyDescent="0.15">
      <c r="B196" s="699"/>
      <c r="C196" s="699"/>
      <c r="G196" s="699"/>
      <c r="H196" s="699"/>
      <c r="I196" s="699"/>
      <c r="J196" s="699"/>
      <c r="K196" s="699"/>
      <c r="L196" s="699"/>
      <c r="R196" s="699"/>
      <c r="S196" s="699"/>
      <c r="U196" s="172"/>
      <c r="X196" s="699"/>
      <c r="Y196" s="699"/>
      <c r="AA196" s="699"/>
      <c r="AB196" s="699"/>
      <c r="AC196" s="699"/>
      <c r="AD196" s="699"/>
      <c r="AF196" s="699"/>
      <c r="AG196" s="699"/>
      <c r="AH196" s="699"/>
      <c r="AI196" s="699"/>
    </row>
    <row r="197" spans="2:35" ht="21" customHeight="1" x14ac:dyDescent="0.15">
      <c r="B197" s="699"/>
      <c r="C197" s="699"/>
      <c r="G197" s="699"/>
      <c r="H197" s="699"/>
      <c r="I197" s="699"/>
      <c r="J197" s="699"/>
      <c r="K197" s="699"/>
      <c r="L197" s="699"/>
      <c r="R197" s="699"/>
      <c r="S197" s="699"/>
      <c r="U197" s="172"/>
      <c r="X197" s="699"/>
      <c r="Y197" s="699"/>
      <c r="AA197" s="699"/>
      <c r="AB197" s="699"/>
      <c r="AC197" s="699"/>
      <c r="AD197" s="699"/>
      <c r="AF197" s="699"/>
      <c r="AG197" s="699"/>
      <c r="AH197" s="699"/>
      <c r="AI197" s="699"/>
    </row>
    <row r="198" spans="2:35" ht="21" customHeight="1" x14ac:dyDescent="0.15">
      <c r="B198" s="699"/>
      <c r="C198" s="699"/>
      <c r="G198" s="699"/>
      <c r="H198" s="699"/>
      <c r="I198" s="699"/>
      <c r="J198" s="699"/>
      <c r="K198" s="699"/>
      <c r="L198" s="699"/>
      <c r="R198" s="699"/>
      <c r="S198" s="699"/>
      <c r="U198" s="172"/>
      <c r="X198" s="699"/>
      <c r="Y198" s="699"/>
      <c r="AA198" s="699"/>
      <c r="AB198" s="699"/>
      <c r="AC198" s="699"/>
      <c r="AD198" s="699"/>
      <c r="AF198" s="699"/>
      <c r="AG198" s="699"/>
      <c r="AH198" s="699"/>
      <c r="AI198" s="699"/>
    </row>
    <row r="199" spans="2:35" ht="21" customHeight="1" x14ac:dyDescent="0.15">
      <c r="B199" s="699"/>
      <c r="C199" s="699"/>
      <c r="G199" s="699"/>
      <c r="H199" s="699"/>
      <c r="I199" s="699"/>
      <c r="J199" s="699"/>
      <c r="K199" s="699"/>
      <c r="L199" s="699"/>
      <c r="R199" s="699"/>
      <c r="S199" s="699"/>
      <c r="U199" s="172"/>
      <c r="X199" s="699"/>
      <c r="Y199" s="699"/>
      <c r="AA199" s="699"/>
      <c r="AB199" s="699"/>
      <c r="AC199" s="699"/>
      <c r="AD199" s="699"/>
      <c r="AF199" s="699"/>
      <c r="AG199" s="699"/>
      <c r="AH199" s="699"/>
      <c r="AI199" s="699"/>
    </row>
    <row r="200" spans="2:35" ht="21" customHeight="1" x14ac:dyDescent="0.15">
      <c r="B200" s="699"/>
      <c r="C200" s="699"/>
      <c r="G200" s="699"/>
      <c r="H200" s="699"/>
      <c r="I200" s="699"/>
      <c r="J200" s="699"/>
      <c r="K200" s="699"/>
      <c r="L200" s="699"/>
      <c r="R200" s="699"/>
      <c r="S200" s="699"/>
      <c r="U200" s="172"/>
      <c r="X200" s="699"/>
      <c r="Y200" s="699"/>
      <c r="AA200" s="699"/>
      <c r="AB200" s="699"/>
      <c r="AC200" s="699"/>
      <c r="AD200" s="699"/>
      <c r="AF200" s="699"/>
      <c r="AG200" s="699"/>
      <c r="AH200" s="699"/>
      <c r="AI200" s="699"/>
    </row>
    <row r="201" spans="2:35" ht="21" customHeight="1" x14ac:dyDescent="0.15">
      <c r="B201" s="699"/>
      <c r="C201" s="699"/>
      <c r="G201" s="699"/>
      <c r="H201" s="699"/>
      <c r="I201" s="699"/>
      <c r="J201" s="699"/>
      <c r="K201" s="699"/>
      <c r="L201" s="699"/>
      <c r="R201" s="699"/>
      <c r="S201" s="699"/>
      <c r="U201" s="172"/>
      <c r="X201" s="699"/>
      <c r="Y201" s="699"/>
      <c r="AA201" s="699"/>
      <c r="AB201" s="699"/>
      <c r="AC201" s="699"/>
      <c r="AD201" s="699"/>
      <c r="AF201" s="699"/>
      <c r="AG201" s="699"/>
      <c r="AH201" s="699"/>
      <c r="AI201" s="699"/>
    </row>
    <row r="202" spans="2:35" ht="21" customHeight="1" x14ac:dyDescent="0.15">
      <c r="B202" s="699"/>
      <c r="C202" s="699"/>
      <c r="G202" s="699"/>
      <c r="H202" s="699"/>
      <c r="I202" s="699"/>
      <c r="J202" s="699"/>
      <c r="K202" s="699"/>
      <c r="L202" s="699"/>
      <c r="R202" s="699"/>
      <c r="S202" s="699"/>
      <c r="U202" s="172"/>
      <c r="X202" s="699"/>
      <c r="Y202" s="699"/>
      <c r="AA202" s="699"/>
      <c r="AB202" s="699"/>
      <c r="AC202" s="699"/>
      <c r="AD202" s="699"/>
      <c r="AF202" s="699"/>
      <c r="AG202" s="699"/>
      <c r="AH202" s="699"/>
      <c r="AI202" s="699"/>
    </row>
    <row r="203" spans="2:35" ht="21" customHeight="1" x14ac:dyDescent="0.15">
      <c r="B203" s="699"/>
      <c r="C203" s="699"/>
      <c r="G203" s="699"/>
      <c r="H203" s="699"/>
      <c r="I203" s="699"/>
      <c r="J203" s="699"/>
      <c r="K203" s="699"/>
      <c r="L203" s="699"/>
      <c r="R203" s="699"/>
      <c r="S203" s="699"/>
      <c r="U203" s="172"/>
      <c r="X203" s="699"/>
      <c r="Y203" s="699"/>
      <c r="AA203" s="699"/>
      <c r="AB203" s="699"/>
      <c r="AC203" s="699"/>
      <c r="AD203" s="699"/>
      <c r="AF203" s="699"/>
      <c r="AG203" s="699"/>
      <c r="AH203" s="699"/>
      <c r="AI203" s="699"/>
    </row>
    <row r="204" spans="2:35" ht="21" customHeight="1" x14ac:dyDescent="0.15">
      <c r="B204" s="699"/>
      <c r="C204" s="699"/>
      <c r="G204" s="699"/>
      <c r="H204" s="699"/>
      <c r="I204" s="699"/>
      <c r="J204" s="699"/>
      <c r="K204" s="699"/>
      <c r="L204" s="699"/>
      <c r="R204" s="699"/>
      <c r="S204" s="699"/>
      <c r="U204" s="172"/>
      <c r="X204" s="699"/>
      <c r="Y204" s="699"/>
      <c r="AA204" s="699"/>
      <c r="AB204" s="699"/>
      <c r="AC204" s="699"/>
      <c r="AD204" s="699"/>
      <c r="AF204" s="699"/>
      <c r="AG204" s="699"/>
      <c r="AH204" s="699"/>
      <c r="AI204" s="699"/>
    </row>
    <row r="205" spans="2:35" ht="21" customHeight="1" x14ac:dyDescent="0.15">
      <c r="B205" s="699"/>
      <c r="C205" s="699"/>
      <c r="G205" s="699"/>
      <c r="H205" s="699"/>
      <c r="I205" s="699"/>
      <c r="J205" s="699"/>
      <c r="K205" s="699"/>
      <c r="L205" s="699"/>
      <c r="R205" s="699"/>
      <c r="S205" s="699"/>
      <c r="U205" s="172"/>
      <c r="X205" s="699"/>
      <c r="Y205" s="699"/>
      <c r="AA205" s="699"/>
      <c r="AB205" s="699"/>
      <c r="AC205" s="699"/>
      <c r="AD205" s="699"/>
      <c r="AF205" s="699"/>
      <c r="AG205" s="699"/>
      <c r="AH205" s="699"/>
      <c r="AI205" s="699"/>
    </row>
    <row r="206" spans="2:35" ht="21" customHeight="1" x14ac:dyDescent="0.15">
      <c r="B206" s="699"/>
      <c r="C206" s="699"/>
      <c r="G206" s="699"/>
      <c r="H206" s="699"/>
      <c r="I206" s="699"/>
      <c r="J206" s="699"/>
      <c r="K206" s="699"/>
      <c r="L206" s="699"/>
      <c r="R206" s="699"/>
      <c r="S206" s="699"/>
      <c r="U206" s="172"/>
      <c r="X206" s="699"/>
      <c r="Y206" s="699"/>
      <c r="AA206" s="699"/>
      <c r="AB206" s="699"/>
      <c r="AC206" s="699"/>
      <c r="AD206" s="699"/>
      <c r="AF206" s="699"/>
      <c r="AG206" s="699"/>
      <c r="AH206" s="699"/>
      <c r="AI206" s="699"/>
    </row>
    <row r="207" spans="2:35" ht="21" customHeight="1" x14ac:dyDescent="0.15">
      <c r="B207" s="699"/>
      <c r="C207" s="699"/>
      <c r="G207" s="699"/>
      <c r="H207" s="699"/>
      <c r="I207" s="699"/>
      <c r="J207" s="699"/>
      <c r="K207" s="699"/>
      <c r="L207" s="699"/>
      <c r="R207" s="699"/>
      <c r="S207" s="699"/>
      <c r="U207" s="172"/>
      <c r="X207" s="699"/>
      <c r="Y207" s="699"/>
      <c r="AA207" s="699"/>
      <c r="AB207" s="699"/>
      <c r="AC207" s="699"/>
      <c r="AD207" s="699"/>
      <c r="AF207" s="699"/>
      <c r="AG207" s="699"/>
      <c r="AH207" s="699"/>
      <c r="AI207" s="699"/>
    </row>
    <row r="208" spans="2:35" ht="21" customHeight="1" x14ac:dyDescent="0.15">
      <c r="B208" s="699"/>
      <c r="C208" s="699"/>
      <c r="G208" s="699"/>
      <c r="H208" s="699"/>
      <c r="I208" s="699"/>
      <c r="J208" s="699"/>
      <c r="K208" s="699"/>
      <c r="L208" s="699"/>
      <c r="R208" s="699"/>
      <c r="S208" s="699"/>
      <c r="U208" s="172"/>
      <c r="X208" s="699"/>
      <c r="Y208" s="699"/>
      <c r="AA208" s="699"/>
      <c r="AB208" s="699"/>
      <c r="AC208" s="699"/>
      <c r="AD208" s="699"/>
      <c r="AF208" s="699"/>
      <c r="AG208" s="699"/>
      <c r="AH208" s="699"/>
      <c r="AI208" s="699"/>
    </row>
    <row r="209" spans="2:35" ht="21" customHeight="1" x14ac:dyDescent="0.15">
      <c r="B209" s="699"/>
      <c r="C209" s="699"/>
      <c r="G209" s="699"/>
      <c r="H209" s="699"/>
      <c r="I209" s="699"/>
      <c r="J209" s="699"/>
      <c r="K209" s="699"/>
      <c r="L209" s="699"/>
      <c r="R209" s="699"/>
      <c r="S209" s="699"/>
      <c r="U209" s="172"/>
      <c r="X209" s="699"/>
      <c r="Y209" s="699"/>
      <c r="AA209" s="699"/>
      <c r="AB209" s="699"/>
      <c r="AC209" s="699"/>
      <c r="AD209" s="699"/>
      <c r="AF209" s="699"/>
      <c r="AG209" s="699"/>
      <c r="AH209" s="699"/>
      <c r="AI209" s="699"/>
    </row>
    <row r="210" spans="2:35" ht="21" customHeight="1" x14ac:dyDescent="0.15">
      <c r="B210" s="699"/>
      <c r="C210" s="699"/>
      <c r="G210" s="699"/>
      <c r="H210" s="699"/>
      <c r="I210" s="699"/>
      <c r="J210" s="699"/>
      <c r="K210" s="699"/>
      <c r="L210" s="699"/>
      <c r="R210" s="699"/>
      <c r="S210" s="699"/>
      <c r="U210" s="172"/>
      <c r="X210" s="699"/>
      <c r="Y210" s="699"/>
      <c r="AA210" s="699"/>
      <c r="AB210" s="699"/>
      <c r="AC210" s="699"/>
      <c r="AD210" s="699"/>
      <c r="AF210" s="699"/>
      <c r="AG210" s="699"/>
      <c r="AH210" s="699"/>
      <c r="AI210" s="699"/>
    </row>
    <row r="211" spans="2:35" ht="21" customHeight="1" x14ac:dyDescent="0.15">
      <c r="B211" s="699"/>
      <c r="C211" s="699"/>
      <c r="G211" s="699"/>
      <c r="H211" s="699"/>
      <c r="I211" s="699"/>
      <c r="J211" s="699"/>
      <c r="K211" s="699"/>
      <c r="L211" s="699"/>
      <c r="R211" s="699"/>
      <c r="S211" s="699"/>
      <c r="U211" s="172"/>
      <c r="X211" s="699"/>
      <c r="Y211" s="699"/>
      <c r="AA211" s="699"/>
      <c r="AB211" s="699"/>
      <c r="AC211" s="699"/>
      <c r="AD211" s="699"/>
      <c r="AF211" s="699"/>
      <c r="AG211" s="699"/>
      <c r="AH211" s="699"/>
      <c r="AI211" s="699"/>
    </row>
    <row r="212" spans="2:35" ht="21" customHeight="1" x14ac:dyDescent="0.15">
      <c r="B212" s="699"/>
      <c r="C212" s="699"/>
      <c r="G212" s="699"/>
      <c r="H212" s="699"/>
      <c r="I212" s="699"/>
      <c r="J212" s="699"/>
      <c r="K212" s="699"/>
      <c r="L212" s="699"/>
      <c r="R212" s="699"/>
      <c r="S212" s="699"/>
      <c r="U212" s="172"/>
      <c r="X212" s="699"/>
      <c r="Y212" s="699"/>
      <c r="AA212" s="699"/>
      <c r="AB212" s="699"/>
      <c r="AC212" s="699"/>
      <c r="AD212" s="699"/>
      <c r="AF212" s="699"/>
      <c r="AG212" s="699"/>
      <c r="AH212" s="699"/>
      <c r="AI212" s="699"/>
    </row>
    <row r="213" spans="2:35" ht="21" customHeight="1" x14ac:dyDescent="0.15">
      <c r="B213" s="699"/>
      <c r="C213" s="699"/>
      <c r="G213" s="699"/>
      <c r="H213" s="699"/>
      <c r="I213" s="699"/>
      <c r="J213" s="699"/>
      <c r="K213" s="699"/>
      <c r="L213" s="699"/>
      <c r="R213" s="699"/>
      <c r="S213" s="699"/>
      <c r="U213" s="172"/>
      <c r="X213" s="699"/>
      <c r="Y213" s="699"/>
      <c r="AA213" s="699"/>
      <c r="AB213" s="699"/>
      <c r="AC213" s="699"/>
      <c r="AD213" s="699"/>
      <c r="AF213" s="699"/>
      <c r="AG213" s="699"/>
      <c r="AH213" s="699"/>
      <c r="AI213" s="699"/>
    </row>
    <row r="214" spans="2:35" ht="21" customHeight="1" x14ac:dyDescent="0.15">
      <c r="B214" s="699"/>
      <c r="C214" s="699"/>
      <c r="G214" s="699"/>
      <c r="H214" s="699"/>
      <c r="I214" s="699"/>
      <c r="J214" s="699"/>
      <c r="K214" s="699"/>
      <c r="L214" s="699"/>
      <c r="R214" s="699"/>
      <c r="S214" s="699"/>
      <c r="U214" s="172"/>
      <c r="X214" s="699"/>
      <c r="Y214" s="699"/>
      <c r="AA214" s="699"/>
      <c r="AB214" s="699"/>
      <c r="AC214" s="699"/>
      <c r="AD214" s="699"/>
      <c r="AF214" s="699"/>
      <c r="AG214" s="699"/>
      <c r="AH214" s="699"/>
      <c r="AI214" s="699"/>
    </row>
    <row r="215" spans="2:35" ht="21" customHeight="1" x14ac:dyDescent="0.15">
      <c r="B215" s="699"/>
      <c r="C215" s="699"/>
      <c r="G215" s="699"/>
      <c r="H215" s="699"/>
      <c r="I215" s="699"/>
      <c r="J215" s="699"/>
      <c r="K215" s="699"/>
      <c r="L215" s="699"/>
      <c r="R215" s="699"/>
      <c r="S215" s="699"/>
      <c r="U215" s="172"/>
      <c r="X215" s="699"/>
      <c r="Y215" s="699"/>
      <c r="AA215" s="699"/>
      <c r="AB215" s="699"/>
      <c r="AC215" s="699"/>
      <c r="AD215" s="699"/>
      <c r="AF215" s="699"/>
      <c r="AG215" s="699"/>
      <c r="AH215" s="699"/>
      <c r="AI215" s="699"/>
    </row>
    <row r="216" spans="2:35" ht="21" customHeight="1" x14ac:dyDescent="0.15">
      <c r="B216" s="699"/>
      <c r="C216" s="699"/>
      <c r="G216" s="699"/>
      <c r="H216" s="699"/>
      <c r="I216" s="699"/>
      <c r="J216" s="699"/>
      <c r="K216" s="699"/>
      <c r="L216" s="699"/>
      <c r="R216" s="699"/>
      <c r="S216" s="699"/>
      <c r="U216" s="172"/>
      <c r="X216" s="699"/>
      <c r="Y216" s="699"/>
      <c r="AA216" s="699"/>
      <c r="AB216" s="699"/>
      <c r="AC216" s="699"/>
      <c r="AD216" s="699"/>
      <c r="AF216" s="699"/>
      <c r="AG216" s="699"/>
      <c r="AH216" s="699"/>
      <c r="AI216" s="699"/>
    </row>
    <row r="217" spans="2:35" ht="21" customHeight="1" x14ac:dyDescent="0.15">
      <c r="B217" s="699"/>
      <c r="C217" s="699"/>
      <c r="G217" s="699"/>
      <c r="H217" s="699"/>
      <c r="I217" s="699"/>
      <c r="J217" s="699"/>
      <c r="K217" s="699"/>
      <c r="L217" s="699"/>
      <c r="R217" s="699"/>
      <c r="S217" s="699"/>
      <c r="U217" s="172"/>
      <c r="X217" s="699"/>
      <c r="Y217" s="699"/>
      <c r="AA217" s="699"/>
      <c r="AB217" s="699"/>
      <c r="AC217" s="699"/>
      <c r="AD217" s="699"/>
      <c r="AF217" s="699"/>
      <c r="AG217" s="699"/>
      <c r="AH217" s="699"/>
      <c r="AI217" s="699"/>
    </row>
    <row r="218" spans="2:35" ht="21" customHeight="1" x14ac:dyDescent="0.15">
      <c r="B218" s="699"/>
      <c r="C218" s="699"/>
      <c r="G218" s="699"/>
      <c r="H218" s="699"/>
      <c r="I218" s="699"/>
      <c r="J218" s="699"/>
      <c r="K218" s="699"/>
      <c r="L218" s="699"/>
      <c r="R218" s="699"/>
      <c r="S218" s="699"/>
      <c r="U218" s="172"/>
      <c r="X218" s="699"/>
      <c r="Y218" s="699"/>
      <c r="AA218" s="699"/>
      <c r="AB218" s="699"/>
      <c r="AC218" s="699"/>
      <c r="AD218" s="699"/>
      <c r="AF218" s="699"/>
      <c r="AG218" s="699"/>
      <c r="AH218" s="699"/>
      <c r="AI218" s="699"/>
    </row>
    <row r="219" spans="2:35" ht="21" customHeight="1" x14ac:dyDescent="0.15">
      <c r="B219" s="699"/>
      <c r="C219" s="699"/>
      <c r="G219" s="699"/>
      <c r="H219" s="699"/>
      <c r="I219" s="699"/>
      <c r="J219" s="699"/>
      <c r="K219" s="699"/>
      <c r="L219" s="699"/>
      <c r="R219" s="699"/>
      <c r="S219" s="699"/>
      <c r="U219" s="172"/>
      <c r="X219" s="699"/>
      <c r="Y219" s="699"/>
      <c r="AA219" s="699"/>
      <c r="AB219" s="699"/>
      <c r="AC219" s="699"/>
      <c r="AD219" s="699"/>
      <c r="AF219" s="699"/>
      <c r="AG219" s="699"/>
      <c r="AH219" s="699"/>
      <c r="AI219" s="699"/>
    </row>
    <row r="220" spans="2:35" ht="21" customHeight="1" x14ac:dyDescent="0.15">
      <c r="B220" s="699"/>
      <c r="C220" s="699"/>
      <c r="G220" s="699"/>
      <c r="H220" s="699"/>
      <c r="I220" s="699"/>
      <c r="J220" s="699"/>
      <c r="K220" s="699"/>
      <c r="L220" s="699"/>
      <c r="R220" s="699"/>
      <c r="S220" s="699"/>
      <c r="U220" s="172"/>
      <c r="X220" s="699"/>
      <c r="Y220" s="699"/>
      <c r="AA220" s="699"/>
      <c r="AB220" s="699"/>
      <c r="AC220" s="699"/>
      <c r="AD220" s="699"/>
      <c r="AF220" s="699"/>
      <c r="AG220" s="699"/>
      <c r="AH220" s="699"/>
      <c r="AI220" s="699"/>
    </row>
    <row r="221" spans="2:35" ht="21" customHeight="1" x14ac:dyDescent="0.15">
      <c r="B221" s="699"/>
      <c r="C221" s="699"/>
      <c r="G221" s="699"/>
      <c r="H221" s="699"/>
      <c r="I221" s="699"/>
      <c r="J221" s="699"/>
      <c r="K221" s="699"/>
      <c r="L221" s="699"/>
      <c r="R221" s="699"/>
      <c r="S221" s="699"/>
      <c r="U221" s="172"/>
      <c r="X221" s="699"/>
      <c r="Y221" s="699"/>
      <c r="AA221" s="699"/>
      <c r="AB221" s="699"/>
      <c r="AC221" s="699"/>
      <c r="AD221" s="699"/>
      <c r="AF221" s="699"/>
      <c r="AG221" s="699"/>
      <c r="AH221" s="699"/>
      <c r="AI221" s="699"/>
    </row>
    <row r="222" spans="2:35" ht="21" customHeight="1" x14ac:dyDescent="0.15">
      <c r="B222" s="699"/>
      <c r="C222" s="699"/>
      <c r="G222" s="699"/>
      <c r="H222" s="699"/>
      <c r="I222" s="699"/>
      <c r="J222" s="699"/>
      <c r="K222" s="699"/>
      <c r="L222" s="699"/>
      <c r="R222" s="699"/>
      <c r="S222" s="699"/>
      <c r="U222" s="172"/>
      <c r="X222" s="699"/>
      <c r="Y222" s="699"/>
      <c r="AA222" s="699"/>
      <c r="AB222" s="699"/>
      <c r="AC222" s="699"/>
      <c r="AD222" s="699"/>
      <c r="AF222" s="699"/>
      <c r="AG222" s="699"/>
      <c r="AH222" s="699"/>
      <c r="AI222" s="699"/>
    </row>
    <row r="223" spans="2:35" ht="21" customHeight="1" x14ac:dyDescent="0.15">
      <c r="B223" s="699"/>
      <c r="C223" s="699"/>
      <c r="G223" s="699"/>
      <c r="H223" s="699"/>
      <c r="I223" s="699"/>
      <c r="J223" s="699"/>
      <c r="K223" s="699"/>
      <c r="L223" s="699"/>
      <c r="R223" s="699"/>
      <c r="S223" s="699"/>
      <c r="U223" s="172"/>
      <c r="X223" s="699"/>
      <c r="Y223" s="699"/>
      <c r="AA223" s="699"/>
      <c r="AB223" s="699"/>
      <c r="AC223" s="699"/>
      <c r="AD223" s="699"/>
      <c r="AF223" s="699"/>
      <c r="AG223" s="699"/>
      <c r="AH223" s="699"/>
      <c r="AI223" s="699"/>
    </row>
    <row r="224" spans="2:35" ht="21" customHeight="1" x14ac:dyDescent="0.15">
      <c r="B224" s="699"/>
      <c r="C224" s="699"/>
      <c r="G224" s="699"/>
      <c r="H224" s="699"/>
      <c r="I224" s="699"/>
      <c r="J224" s="699"/>
      <c r="K224" s="699"/>
      <c r="L224" s="699"/>
      <c r="R224" s="699"/>
      <c r="S224" s="699"/>
      <c r="U224" s="172"/>
      <c r="X224" s="699"/>
      <c r="Y224" s="699"/>
      <c r="AA224" s="699"/>
      <c r="AB224" s="699"/>
      <c r="AC224" s="699"/>
      <c r="AD224" s="699"/>
      <c r="AF224" s="699"/>
      <c r="AG224" s="699"/>
      <c r="AH224" s="699"/>
      <c r="AI224" s="699"/>
    </row>
    <row r="225" spans="2:35" ht="21" customHeight="1" x14ac:dyDescent="0.15">
      <c r="B225" s="699"/>
      <c r="C225" s="699"/>
      <c r="G225" s="699"/>
      <c r="H225" s="699"/>
      <c r="I225" s="699"/>
      <c r="J225" s="699"/>
      <c r="K225" s="699"/>
      <c r="L225" s="699"/>
      <c r="R225" s="699"/>
      <c r="S225" s="699"/>
      <c r="U225" s="172"/>
      <c r="X225" s="699"/>
      <c r="Y225" s="699"/>
      <c r="AA225" s="699"/>
      <c r="AB225" s="699"/>
      <c r="AC225" s="699"/>
      <c r="AD225" s="699"/>
      <c r="AF225" s="699"/>
      <c r="AG225" s="699"/>
      <c r="AH225" s="699"/>
      <c r="AI225" s="699"/>
    </row>
    <row r="226" spans="2:35" ht="21" customHeight="1" x14ac:dyDescent="0.15">
      <c r="B226" s="699"/>
      <c r="C226" s="699"/>
      <c r="G226" s="699"/>
      <c r="H226" s="699"/>
      <c r="I226" s="699"/>
      <c r="J226" s="699"/>
      <c r="K226" s="699"/>
      <c r="L226" s="699"/>
      <c r="R226" s="699"/>
      <c r="S226" s="699"/>
      <c r="U226" s="172"/>
      <c r="X226" s="699"/>
      <c r="Y226" s="699"/>
      <c r="AA226" s="699"/>
      <c r="AB226" s="699"/>
      <c r="AC226" s="699"/>
      <c r="AD226" s="699"/>
      <c r="AF226" s="699"/>
      <c r="AG226" s="699"/>
      <c r="AH226" s="699"/>
      <c r="AI226" s="699"/>
    </row>
    <row r="227" spans="2:35" ht="21" customHeight="1" x14ac:dyDescent="0.15">
      <c r="B227" s="699"/>
      <c r="C227" s="699"/>
      <c r="G227" s="699"/>
      <c r="H227" s="699"/>
      <c r="I227" s="699"/>
      <c r="J227" s="699"/>
      <c r="K227" s="699"/>
      <c r="L227" s="699"/>
      <c r="R227" s="699"/>
      <c r="S227" s="699"/>
      <c r="U227" s="172"/>
      <c r="X227" s="699"/>
      <c r="Y227" s="699"/>
      <c r="AA227" s="699"/>
      <c r="AB227" s="699"/>
      <c r="AC227" s="699"/>
      <c r="AD227" s="699"/>
      <c r="AF227" s="699"/>
      <c r="AG227" s="699"/>
      <c r="AH227" s="699"/>
      <c r="AI227" s="699"/>
    </row>
    <row r="228" spans="2:35" ht="21" customHeight="1" x14ac:dyDescent="0.15">
      <c r="B228" s="699"/>
      <c r="C228" s="699"/>
      <c r="G228" s="699"/>
      <c r="H228" s="699"/>
      <c r="I228" s="699"/>
      <c r="J228" s="699"/>
      <c r="K228" s="699"/>
      <c r="L228" s="699"/>
      <c r="R228" s="699"/>
      <c r="S228" s="699"/>
      <c r="U228" s="172"/>
      <c r="X228" s="699"/>
      <c r="Y228" s="699"/>
      <c r="AA228" s="699"/>
      <c r="AB228" s="699"/>
      <c r="AC228" s="699"/>
      <c r="AD228" s="699"/>
      <c r="AF228" s="699"/>
      <c r="AG228" s="699"/>
      <c r="AH228" s="699"/>
      <c r="AI228" s="699"/>
    </row>
    <row r="229" spans="2:35" ht="21" customHeight="1" x14ac:dyDescent="0.15">
      <c r="B229" s="699"/>
      <c r="C229" s="699"/>
      <c r="G229" s="699"/>
      <c r="H229" s="699"/>
      <c r="I229" s="699"/>
      <c r="J229" s="699"/>
      <c r="K229" s="699"/>
      <c r="L229" s="699"/>
      <c r="R229" s="699"/>
      <c r="S229" s="699"/>
      <c r="U229" s="172"/>
      <c r="X229" s="699"/>
      <c r="Y229" s="699"/>
      <c r="AA229" s="699"/>
      <c r="AB229" s="699"/>
      <c r="AC229" s="699"/>
      <c r="AD229" s="699"/>
      <c r="AF229" s="699"/>
      <c r="AG229" s="699"/>
      <c r="AH229" s="699"/>
      <c r="AI229" s="699"/>
    </row>
    <row r="230" spans="2:35" ht="21" customHeight="1" x14ac:dyDescent="0.15">
      <c r="B230" s="699"/>
      <c r="C230" s="699"/>
      <c r="G230" s="699"/>
      <c r="H230" s="699"/>
      <c r="I230" s="699"/>
      <c r="J230" s="699"/>
      <c r="K230" s="699"/>
      <c r="L230" s="699"/>
      <c r="R230" s="699"/>
      <c r="S230" s="699"/>
      <c r="U230" s="172"/>
      <c r="X230" s="699"/>
      <c r="Y230" s="699"/>
      <c r="AA230" s="699"/>
      <c r="AB230" s="699"/>
      <c r="AC230" s="699"/>
      <c r="AD230" s="699"/>
      <c r="AF230" s="699"/>
      <c r="AG230" s="699"/>
      <c r="AH230" s="699"/>
      <c r="AI230" s="699"/>
    </row>
    <row r="231" spans="2:35" ht="21" customHeight="1" x14ac:dyDescent="0.15">
      <c r="B231" s="699"/>
      <c r="C231" s="699"/>
      <c r="G231" s="699"/>
      <c r="H231" s="699"/>
      <c r="I231" s="699"/>
      <c r="J231" s="699"/>
      <c r="K231" s="699"/>
      <c r="L231" s="699"/>
      <c r="R231" s="699"/>
      <c r="S231" s="699"/>
      <c r="U231" s="172"/>
      <c r="X231" s="699"/>
      <c r="Y231" s="699"/>
      <c r="AA231" s="699"/>
      <c r="AB231" s="699"/>
      <c r="AC231" s="699"/>
      <c r="AD231" s="699"/>
      <c r="AF231" s="699"/>
      <c r="AG231" s="699"/>
      <c r="AH231" s="699"/>
      <c r="AI231" s="699"/>
    </row>
    <row r="232" spans="2:35" ht="21" customHeight="1" x14ac:dyDescent="0.15">
      <c r="B232" s="699"/>
      <c r="C232" s="699"/>
      <c r="G232" s="699"/>
      <c r="H232" s="699"/>
      <c r="I232" s="699"/>
      <c r="J232" s="699"/>
      <c r="K232" s="699"/>
      <c r="L232" s="699"/>
      <c r="R232" s="699"/>
      <c r="S232" s="699"/>
      <c r="U232" s="172"/>
      <c r="X232" s="699"/>
      <c r="Y232" s="699"/>
      <c r="AA232" s="699"/>
      <c r="AB232" s="699"/>
      <c r="AC232" s="699"/>
      <c r="AD232" s="699"/>
      <c r="AF232" s="699"/>
      <c r="AG232" s="699"/>
      <c r="AH232" s="699"/>
      <c r="AI232" s="699"/>
    </row>
    <row r="233" spans="2:35" ht="21" customHeight="1" x14ac:dyDescent="0.15">
      <c r="B233" s="699"/>
      <c r="C233" s="699"/>
      <c r="G233" s="699"/>
      <c r="H233" s="699"/>
      <c r="I233" s="699"/>
      <c r="J233" s="699"/>
      <c r="K233" s="699"/>
      <c r="L233" s="699"/>
      <c r="R233" s="699"/>
      <c r="S233" s="699"/>
      <c r="U233" s="172"/>
      <c r="X233" s="699"/>
      <c r="Y233" s="699"/>
      <c r="AA233" s="699"/>
      <c r="AB233" s="699"/>
      <c r="AC233" s="699"/>
      <c r="AD233" s="699"/>
      <c r="AF233" s="699"/>
      <c r="AG233" s="699"/>
      <c r="AH233" s="699"/>
      <c r="AI233" s="699"/>
    </row>
    <row r="234" spans="2:35" ht="21" customHeight="1" x14ac:dyDescent="0.15">
      <c r="B234" s="699"/>
      <c r="C234" s="699"/>
      <c r="G234" s="699"/>
      <c r="H234" s="699"/>
      <c r="I234" s="699"/>
      <c r="J234" s="699"/>
      <c r="K234" s="699"/>
      <c r="L234" s="699"/>
      <c r="R234" s="699"/>
      <c r="S234" s="699"/>
      <c r="U234" s="172"/>
      <c r="X234" s="699"/>
      <c r="Y234" s="699"/>
      <c r="AA234" s="699"/>
      <c r="AB234" s="699"/>
      <c r="AC234" s="699"/>
      <c r="AD234" s="699"/>
      <c r="AF234" s="699"/>
      <c r="AG234" s="699"/>
      <c r="AH234" s="699"/>
      <c r="AI234" s="699"/>
    </row>
    <row r="235" spans="2:35" ht="21" customHeight="1" x14ac:dyDescent="0.15">
      <c r="B235" s="699"/>
      <c r="C235" s="699"/>
      <c r="G235" s="699"/>
      <c r="H235" s="699"/>
      <c r="I235" s="699"/>
      <c r="J235" s="699"/>
      <c r="K235" s="699"/>
      <c r="L235" s="699"/>
      <c r="R235" s="699"/>
      <c r="S235" s="699"/>
      <c r="U235" s="172"/>
      <c r="X235" s="699"/>
      <c r="Y235" s="699"/>
      <c r="AA235" s="699"/>
      <c r="AB235" s="699"/>
      <c r="AC235" s="699"/>
      <c r="AD235" s="699"/>
      <c r="AF235" s="699"/>
      <c r="AG235" s="699"/>
      <c r="AH235" s="699"/>
      <c r="AI235" s="699"/>
    </row>
    <row r="236" spans="2:35" ht="21" customHeight="1" x14ac:dyDescent="0.15">
      <c r="B236" s="699"/>
      <c r="C236" s="699"/>
      <c r="G236" s="699"/>
      <c r="H236" s="699"/>
      <c r="I236" s="699"/>
      <c r="J236" s="699"/>
      <c r="K236" s="699"/>
      <c r="L236" s="699"/>
      <c r="R236" s="699"/>
      <c r="S236" s="699"/>
      <c r="U236" s="172"/>
      <c r="X236" s="699"/>
      <c r="Y236" s="699"/>
      <c r="AA236" s="699"/>
      <c r="AB236" s="699"/>
      <c r="AC236" s="699"/>
      <c r="AD236" s="699"/>
      <c r="AF236" s="699"/>
      <c r="AG236" s="699"/>
      <c r="AH236" s="699"/>
      <c r="AI236" s="699"/>
    </row>
    <row r="237" spans="2:35" ht="21" customHeight="1" x14ac:dyDescent="0.15">
      <c r="B237" s="699"/>
      <c r="C237" s="699"/>
      <c r="G237" s="699"/>
      <c r="H237" s="699"/>
      <c r="I237" s="699"/>
      <c r="J237" s="699"/>
      <c r="K237" s="699"/>
      <c r="L237" s="699"/>
      <c r="R237" s="699"/>
      <c r="S237" s="699"/>
      <c r="U237" s="172"/>
      <c r="X237" s="699"/>
      <c r="Y237" s="699"/>
      <c r="AA237" s="699"/>
      <c r="AB237" s="699"/>
      <c r="AC237" s="699"/>
      <c r="AD237" s="699"/>
      <c r="AF237" s="699"/>
      <c r="AG237" s="699"/>
      <c r="AH237" s="699"/>
      <c r="AI237" s="699"/>
    </row>
    <row r="238" spans="2:35" ht="21" customHeight="1" x14ac:dyDescent="0.15">
      <c r="B238" s="699"/>
      <c r="C238" s="699"/>
      <c r="G238" s="699"/>
      <c r="H238" s="699"/>
      <c r="I238" s="699"/>
      <c r="J238" s="699"/>
      <c r="K238" s="699"/>
      <c r="L238" s="699"/>
      <c r="R238" s="699"/>
      <c r="S238" s="699"/>
      <c r="U238" s="172"/>
      <c r="X238" s="699"/>
      <c r="Y238" s="699"/>
      <c r="AA238" s="699"/>
      <c r="AB238" s="699"/>
      <c r="AC238" s="699"/>
      <c r="AD238" s="699"/>
      <c r="AF238" s="699"/>
      <c r="AG238" s="699"/>
      <c r="AH238" s="699"/>
      <c r="AI238" s="699"/>
    </row>
    <row r="239" spans="2:35" ht="21" customHeight="1" x14ac:dyDescent="0.15">
      <c r="B239" s="699"/>
      <c r="C239" s="699"/>
      <c r="G239" s="699"/>
      <c r="H239" s="699"/>
      <c r="I239" s="699"/>
      <c r="J239" s="699"/>
      <c r="K239" s="699"/>
      <c r="L239" s="699"/>
      <c r="R239" s="699"/>
      <c r="S239" s="699"/>
      <c r="U239" s="172"/>
      <c r="X239" s="699"/>
      <c r="Y239" s="699"/>
      <c r="AA239" s="699"/>
      <c r="AB239" s="699"/>
      <c r="AC239" s="699"/>
      <c r="AD239" s="699"/>
      <c r="AF239" s="699"/>
      <c r="AG239" s="699"/>
      <c r="AH239" s="699"/>
      <c r="AI239" s="699"/>
    </row>
    <row r="240" spans="2:35" ht="21" customHeight="1" x14ac:dyDescent="0.15">
      <c r="B240" s="699"/>
      <c r="C240" s="699"/>
      <c r="G240" s="699"/>
      <c r="H240" s="699"/>
      <c r="I240" s="699"/>
      <c r="J240" s="699"/>
      <c r="K240" s="699"/>
      <c r="L240" s="699"/>
      <c r="R240" s="699"/>
      <c r="S240" s="699"/>
      <c r="U240" s="172"/>
      <c r="X240" s="699"/>
      <c r="Y240" s="699"/>
      <c r="AA240" s="699"/>
      <c r="AB240" s="699"/>
      <c r="AC240" s="699"/>
      <c r="AD240" s="699"/>
      <c r="AF240" s="699"/>
      <c r="AG240" s="699"/>
      <c r="AH240" s="699"/>
      <c r="AI240" s="699"/>
    </row>
    <row r="241" spans="2:35" ht="21" customHeight="1" x14ac:dyDescent="0.15">
      <c r="B241" s="699"/>
      <c r="C241" s="699"/>
      <c r="G241" s="699"/>
      <c r="H241" s="699"/>
      <c r="I241" s="699"/>
      <c r="J241" s="699"/>
      <c r="K241" s="699"/>
      <c r="L241" s="699"/>
      <c r="R241" s="699"/>
      <c r="S241" s="699"/>
      <c r="U241" s="172"/>
      <c r="X241" s="699"/>
      <c r="Y241" s="699"/>
      <c r="AA241" s="699"/>
      <c r="AB241" s="699"/>
      <c r="AC241" s="699"/>
      <c r="AD241" s="699"/>
      <c r="AF241" s="699"/>
      <c r="AG241" s="699"/>
      <c r="AH241" s="699"/>
      <c r="AI241" s="699"/>
    </row>
    <row r="242" spans="2:35" ht="21" customHeight="1" x14ac:dyDescent="0.15">
      <c r="B242" s="699"/>
      <c r="C242" s="699"/>
      <c r="G242" s="699"/>
      <c r="H242" s="699"/>
      <c r="I242" s="699"/>
      <c r="J242" s="699"/>
      <c r="K242" s="699"/>
      <c r="L242" s="699"/>
      <c r="R242" s="699"/>
      <c r="S242" s="699"/>
      <c r="U242" s="172"/>
      <c r="X242" s="699"/>
      <c r="Y242" s="699"/>
      <c r="AA242" s="699"/>
      <c r="AB242" s="699"/>
      <c r="AC242" s="699"/>
      <c r="AD242" s="699"/>
      <c r="AF242" s="699"/>
      <c r="AG242" s="699"/>
      <c r="AH242" s="699"/>
      <c r="AI242" s="699"/>
    </row>
    <row r="243" spans="2:35" ht="21" customHeight="1" x14ac:dyDescent="0.15">
      <c r="B243" s="699"/>
      <c r="C243" s="699"/>
      <c r="G243" s="699"/>
      <c r="H243" s="699"/>
      <c r="I243" s="699"/>
      <c r="J243" s="699"/>
      <c r="K243" s="699"/>
      <c r="L243" s="699"/>
      <c r="R243" s="699"/>
      <c r="S243" s="699"/>
      <c r="U243" s="172"/>
      <c r="X243" s="699"/>
      <c r="Y243" s="699"/>
      <c r="AA243" s="699"/>
      <c r="AB243" s="699"/>
      <c r="AC243" s="699"/>
      <c r="AD243" s="699"/>
      <c r="AF243" s="699"/>
      <c r="AG243" s="699"/>
      <c r="AH243" s="699"/>
      <c r="AI243" s="699"/>
    </row>
    <row r="244" spans="2:35" ht="21" customHeight="1" x14ac:dyDescent="0.15">
      <c r="B244" s="699"/>
      <c r="C244" s="699"/>
      <c r="G244" s="699"/>
      <c r="H244" s="699"/>
      <c r="I244" s="699"/>
      <c r="J244" s="699"/>
      <c r="K244" s="699"/>
      <c r="L244" s="699"/>
      <c r="R244" s="699"/>
      <c r="S244" s="699"/>
      <c r="U244" s="172"/>
      <c r="X244" s="699"/>
      <c r="Y244" s="699"/>
      <c r="AA244" s="699"/>
      <c r="AB244" s="699"/>
      <c r="AC244" s="699"/>
      <c r="AD244" s="699"/>
      <c r="AF244" s="699"/>
      <c r="AG244" s="699"/>
      <c r="AH244" s="699"/>
      <c r="AI244" s="699"/>
    </row>
    <row r="245" spans="2:35" ht="21" customHeight="1" x14ac:dyDescent="0.15">
      <c r="B245" s="699"/>
      <c r="C245" s="699"/>
      <c r="G245" s="699"/>
      <c r="H245" s="699"/>
      <c r="I245" s="699"/>
      <c r="J245" s="699"/>
      <c r="K245" s="699"/>
      <c r="L245" s="699"/>
      <c r="R245" s="699"/>
      <c r="S245" s="699"/>
      <c r="U245" s="172"/>
      <c r="X245" s="699"/>
      <c r="Y245" s="699"/>
      <c r="AA245" s="699"/>
      <c r="AB245" s="699"/>
      <c r="AC245" s="699"/>
      <c r="AD245" s="699"/>
      <c r="AF245" s="699"/>
      <c r="AG245" s="699"/>
      <c r="AH245" s="699"/>
      <c r="AI245" s="699"/>
    </row>
    <row r="246" spans="2:35" ht="21" customHeight="1" x14ac:dyDescent="0.15">
      <c r="B246" s="699"/>
      <c r="C246" s="699"/>
      <c r="G246" s="699"/>
      <c r="H246" s="699"/>
      <c r="I246" s="699"/>
      <c r="J246" s="699"/>
      <c r="K246" s="699"/>
      <c r="L246" s="699"/>
      <c r="R246" s="699"/>
      <c r="S246" s="699"/>
      <c r="U246" s="172"/>
      <c r="X246" s="699"/>
      <c r="Y246" s="699"/>
      <c r="AA246" s="699"/>
      <c r="AB246" s="699"/>
      <c r="AC246" s="699"/>
      <c r="AD246" s="699"/>
      <c r="AF246" s="699"/>
      <c r="AG246" s="699"/>
      <c r="AH246" s="699"/>
      <c r="AI246" s="699"/>
    </row>
    <row r="247" spans="2:35" ht="21" customHeight="1" x14ac:dyDescent="0.15">
      <c r="B247" s="699"/>
      <c r="C247" s="699"/>
      <c r="G247" s="699"/>
      <c r="H247" s="699"/>
      <c r="I247" s="699"/>
      <c r="J247" s="699"/>
      <c r="K247" s="699"/>
      <c r="L247" s="699"/>
      <c r="R247" s="699"/>
      <c r="S247" s="699"/>
      <c r="U247" s="172"/>
      <c r="X247" s="699"/>
      <c r="Y247" s="699"/>
      <c r="AA247" s="699"/>
      <c r="AB247" s="699"/>
      <c r="AC247" s="699"/>
      <c r="AD247" s="699"/>
      <c r="AF247" s="699"/>
      <c r="AG247" s="699"/>
      <c r="AH247" s="699"/>
      <c r="AI247" s="699"/>
    </row>
    <row r="248" spans="2:35" ht="21" customHeight="1" x14ac:dyDescent="0.15">
      <c r="B248" s="699"/>
      <c r="C248" s="699"/>
      <c r="G248" s="699"/>
      <c r="H248" s="699"/>
      <c r="I248" s="699"/>
      <c r="J248" s="699"/>
      <c r="K248" s="699"/>
      <c r="L248" s="699"/>
      <c r="R248" s="699"/>
      <c r="S248" s="699"/>
      <c r="U248" s="172"/>
      <c r="X248" s="699"/>
      <c r="Y248" s="699"/>
      <c r="AA248" s="699"/>
      <c r="AB248" s="699"/>
      <c r="AC248" s="699"/>
      <c r="AD248" s="699"/>
      <c r="AF248" s="699"/>
      <c r="AG248" s="699"/>
      <c r="AH248" s="699"/>
      <c r="AI248" s="699"/>
    </row>
    <row r="249" spans="2:35" ht="21" customHeight="1" x14ac:dyDescent="0.15">
      <c r="B249" s="699"/>
      <c r="C249" s="699"/>
      <c r="G249" s="699"/>
      <c r="H249" s="699"/>
      <c r="I249" s="699"/>
      <c r="J249" s="699"/>
      <c r="K249" s="699"/>
      <c r="L249" s="699"/>
      <c r="R249" s="699"/>
      <c r="S249" s="699"/>
      <c r="U249" s="172"/>
      <c r="X249" s="699"/>
      <c r="Y249" s="699"/>
      <c r="AA249" s="699"/>
      <c r="AB249" s="699"/>
      <c r="AC249" s="699"/>
      <c r="AD249" s="699"/>
      <c r="AF249" s="699"/>
      <c r="AG249" s="699"/>
      <c r="AH249" s="699"/>
      <c r="AI249" s="699"/>
    </row>
    <row r="250" spans="2:35" ht="21" customHeight="1" x14ac:dyDescent="0.15">
      <c r="B250" s="699"/>
      <c r="C250" s="699"/>
      <c r="G250" s="699"/>
      <c r="H250" s="699"/>
      <c r="I250" s="699"/>
      <c r="J250" s="699"/>
      <c r="K250" s="699"/>
      <c r="L250" s="699"/>
      <c r="R250" s="699"/>
      <c r="S250" s="699"/>
      <c r="U250" s="172"/>
      <c r="X250" s="699"/>
      <c r="Y250" s="699"/>
      <c r="AA250" s="699"/>
      <c r="AB250" s="699"/>
      <c r="AC250" s="699"/>
      <c r="AD250" s="699"/>
      <c r="AF250" s="699"/>
      <c r="AG250" s="699"/>
      <c r="AH250" s="699"/>
      <c r="AI250" s="699"/>
    </row>
    <row r="251" spans="2:35" ht="21" customHeight="1" x14ac:dyDescent="0.15">
      <c r="B251" s="699"/>
      <c r="C251" s="699"/>
      <c r="G251" s="699"/>
      <c r="H251" s="699"/>
      <c r="I251" s="699"/>
      <c r="J251" s="699"/>
      <c r="K251" s="699"/>
      <c r="L251" s="699"/>
      <c r="R251" s="699"/>
      <c r="S251" s="699"/>
      <c r="U251" s="172"/>
      <c r="X251" s="699"/>
      <c r="Y251" s="699"/>
      <c r="AA251" s="699"/>
      <c r="AB251" s="699"/>
      <c r="AC251" s="699"/>
      <c r="AD251" s="699"/>
      <c r="AF251" s="699"/>
      <c r="AG251" s="699"/>
      <c r="AH251" s="699"/>
      <c r="AI251" s="699"/>
    </row>
    <row r="252" spans="2:35" ht="21" customHeight="1" x14ac:dyDescent="0.15">
      <c r="B252" s="699"/>
      <c r="C252" s="699"/>
      <c r="G252" s="699"/>
      <c r="H252" s="699"/>
      <c r="I252" s="699"/>
      <c r="J252" s="699"/>
      <c r="K252" s="699"/>
      <c r="L252" s="699"/>
      <c r="R252" s="699"/>
      <c r="S252" s="699"/>
      <c r="U252" s="172"/>
      <c r="X252" s="699"/>
      <c r="Y252" s="699"/>
      <c r="AA252" s="699"/>
      <c r="AB252" s="699"/>
      <c r="AC252" s="699"/>
      <c r="AD252" s="699"/>
      <c r="AF252" s="699"/>
      <c r="AG252" s="699"/>
      <c r="AH252" s="699"/>
      <c r="AI252" s="699"/>
    </row>
    <row r="253" spans="2:35" ht="21" customHeight="1" x14ac:dyDescent="0.15">
      <c r="B253" s="699"/>
      <c r="C253" s="699"/>
      <c r="G253" s="699"/>
      <c r="H253" s="699"/>
      <c r="I253" s="699"/>
      <c r="J253" s="699"/>
      <c r="K253" s="699"/>
      <c r="L253" s="699"/>
      <c r="R253" s="699"/>
      <c r="S253" s="699"/>
      <c r="U253" s="172"/>
      <c r="X253" s="699"/>
      <c r="Y253" s="699"/>
      <c r="AA253" s="699"/>
      <c r="AB253" s="699"/>
      <c r="AC253" s="699"/>
      <c r="AD253" s="699"/>
      <c r="AF253" s="699"/>
      <c r="AG253" s="699"/>
      <c r="AH253" s="699"/>
      <c r="AI253" s="699"/>
    </row>
    <row r="254" spans="2:35" ht="21" customHeight="1" x14ac:dyDescent="0.15">
      <c r="B254" s="699"/>
      <c r="C254" s="699"/>
      <c r="G254" s="699"/>
      <c r="H254" s="699"/>
      <c r="I254" s="699"/>
      <c r="J254" s="699"/>
      <c r="K254" s="699"/>
      <c r="L254" s="699"/>
      <c r="R254" s="699"/>
      <c r="S254" s="699"/>
      <c r="U254" s="172"/>
      <c r="X254" s="699"/>
      <c r="Y254" s="699"/>
      <c r="AA254" s="699"/>
      <c r="AB254" s="699"/>
      <c r="AC254" s="699"/>
      <c r="AD254" s="699"/>
      <c r="AF254" s="699"/>
      <c r="AG254" s="699"/>
      <c r="AH254" s="699"/>
      <c r="AI254" s="699"/>
    </row>
    <row r="255" spans="2:35" ht="21" customHeight="1" x14ac:dyDescent="0.15">
      <c r="B255" s="699"/>
      <c r="C255" s="699"/>
      <c r="G255" s="699"/>
      <c r="H255" s="699"/>
      <c r="I255" s="699"/>
      <c r="J255" s="699"/>
      <c r="K255" s="699"/>
      <c r="L255" s="699"/>
      <c r="R255" s="699"/>
      <c r="S255" s="699"/>
      <c r="U255" s="172"/>
      <c r="X255" s="699"/>
      <c r="Y255" s="699"/>
      <c r="AA255" s="699"/>
      <c r="AB255" s="699"/>
      <c r="AC255" s="699"/>
      <c r="AD255" s="699"/>
      <c r="AF255" s="699"/>
      <c r="AG255" s="699"/>
      <c r="AH255" s="699"/>
      <c r="AI255" s="699"/>
    </row>
    <row r="256" spans="2:35" ht="21" customHeight="1" x14ac:dyDescent="0.15">
      <c r="B256" s="699"/>
      <c r="C256" s="699"/>
      <c r="G256" s="699"/>
      <c r="H256" s="699"/>
      <c r="I256" s="699"/>
      <c r="J256" s="699"/>
      <c r="K256" s="699"/>
      <c r="L256" s="699"/>
      <c r="R256" s="699"/>
      <c r="S256" s="699"/>
      <c r="U256" s="172"/>
      <c r="X256" s="699"/>
      <c r="Y256" s="699"/>
      <c r="AA256" s="699"/>
      <c r="AB256" s="699"/>
      <c r="AC256" s="699"/>
      <c r="AD256" s="699"/>
      <c r="AF256" s="699"/>
      <c r="AG256" s="699"/>
      <c r="AH256" s="699"/>
      <c r="AI256" s="699"/>
    </row>
    <row r="257" spans="2:35" ht="21" customHeight="1" x14ac:dyDescent="0.15">
      <c r="B257" s="699"/>
      <c r="C257" s="699"/>
      <c r="G257" s="699"/>
      <c r="H257" s="699"/>
      <c r="I257" s="699"/>
      <c r="J257" s="699"/>
      <c r="K257" s="699"/>
      <c r="L257" s="699"/>
      <c r="R257" s="699"/>
      <c r="S257" s="699"/>
      <c r="U257" s="172"/>
      <c r="X257" s="699"/>
      <c r="Y257" s="699"/>
      <c r="AA257" s="699"/>
      <c r="AB257" s="699"/>
      <c r="AC257" s="699"/>
      <c r="AD257" s="699"/>
      <c r="AF257" s="699"/>
      <c r="AG257" s="699"/>
      <c r="AH257" s="699"/>
      <c r="AI257" s="699"/>
    </row>
    <row r="258" spans="2:35" ht="21" customHeight="1" x14ac:dyDescent="0.15">
      <c r="B258" s="699"/>
      <c r="C258" s="699"/>
      <c r="G258" s="699"/>
      <c r="H258" s="699"/>
      <c r="I258" s="699"/>
      <c r="J258" s="699"/>
      <c r="K258" s="699"/>
      <c r="L258" s="699"/>
      <c r="R258" s="699"/>
      <c r="S258" s="699"/>
      <c r="U258" s="172"/>
      <c r="X258" s="699"/>
      <c r="Y258" s="699"/>
      <c r="AA258" s="699"/>
      <c r="AB258" s="699"/>
      <c r="AC258" s="699"/>
      <c r="AD258" s="699"/>
      <c r="AF258" s="699"/>
      <c r="AG258" s="699"/>
      <c r="AH258" s="699"/>
      <c r="AI258" s="699"/>
    </row>
    <row r="259" spans="2:35" ht="21" customHeight="1" x14ac:dyDescent="0.15">
      <c r="B259" s="699"/>
      <c r="C259" s="699"/>
      <c r="G259" s="699"/>
      <c r="H259" s="699"/>
      <c r="I259" s="699"/>
      <c r="J259" s="699"/>
      <c r="K259" s="699"/>
      <c r="L259" s="699"/>
      <c r="R259" s="699"/>
      <c r="S259" s="699"/>
      <c r="U259" s="172"/>
      <c r="X259" s="699"/>
      <c r="Y259" s="699"/>
      <c r="AA259" s="699"/>
      <c r="AB259" s="699"/>
      <c r="AC259" s="699"/>
      <c r="AD259" s="699"/>
      <c r="AF259" s="699"/>
      <c r="AG259" s="699"/>
      <c r="AH259" s="699"/>
      <c r="AI259" s="699"/>
    </row>
    <row r="260" spans="2:35" ht="21" customHeight="1" x14ac:dyDescent="0.15">
      <c r="B260" s="699"/>
      <c r="C260" s="699"/>
      <c r="G260" s="699"/>
      <c r="H260" s="699"/>
      <c r="I260" s="699"/>
      <c r="J260" s="699"/>
      <c r="K260" s="699"/>
      <c r="L260" s="699"/>
      <c r="R260" s="699"/>
      <c r="S260" s="699"/>
      <c r="U260" s="172"/>
      <c r="X260" s="699"/>
      <c r="Y260" s="699"/>
      <c r="AA260" s="699"/>
      <c r="AB260" s="699"/>
      <c r="AC260" s="699"/>
      <c r="AD260" s="699"/>
      <c r="AF260" s="699"/>
      <c r="AG260" s="699"/>
      <c r="AH260" s="699"/>
      <c r="AI260" s="699"/>
    </row>
    <row r="261" spans="2:35" ht="21" customHeight="1" x14ac:dyDescent="0.15">
      <c r="B261" s="699"/>
      <c r="C261" s="699"/>
      <c r="G261" s="699"/>
      <c r="H261" s="699"/>
      <c r="I261" s="699"/>
      <c r="J261" s="699"/>
      <c r="K261" s="699"/>
      <c r="L261" s="699"/>
      <c r="R261" s="699"/>
      <c r="S261" s="699"/>
      <c r="U261" s="172"/>
      <c r="X261" s="699"/>
      <c r="Y261" s="699"/>
      <c r="AA261" s="699"/>
      <c r="AB261" s="699"/>
      <c r="AC261" s="699"/>
      <c r="AD261" s="699"/>
      <c r="AF261" s="699"/>
      <c r="AG261" s="699"/>
      <c r="AH261" s="699"/>
      <c r="AI261" s="699"/>
    </row>
    <row r="262" spans="2:35" ht="21" customHeight="1" x14ac:dyDescent="0.15">
      <c r="B262" s="699"/>
      <c r="C262" s="699"/>
      <c r="G262" s="699"/>
      <c r="H262" s="699"/>
      <c r="I262" s="699"/>
      <c r="J262" s="699"/>
      <c r="K262" s="699"/>
      <c r="L262" s="699"/>
      <c r="R262" s="699"/>
      <c r="S262" s="699"/>
      <c r="U262" s="172"/>
      <c r="X262" s="699"/>
      <c r="Y262" s="699"/>
      <c r="AA262" s="699"/>
      <c r="AB262" s="699"/>
      <c r="AC262" s="699"/>
      <c r="AD262" s="699"/>
      <c r="AF262" s="699"/>
      <c r="AG262" s="699"/>
      <c r="AH262" s="699"/>
      <c r="AI262" s="699"/>
    </row>
    <row r="263" spans="2:35" ht="21" customHeight="1" x14ac:dyDescent="0.15">
      <c r="B263" s="699"/>
      <c r="C263" s="699"/>
      <c r="G263" s="699"/>
      <c r="H263" s="699"/>
      <c r="I263" s="699"/>
      <c r="J263" s="699"/>
      <c r="K263" s="699"/>
      <c r="L263" s="699"/>
      <c r="R263" s="699"/>
      <c r="S263" s="699"/>
      <c r="U263" s="172"/>
      <c r="X263" s="699"/>
      <c r="Y263" s="699"/>
      <c r="AA263" s="699"/>
      <c r="AB263" s="699"/>
      <c r="AC263" s="699"/>
      <c r="AD263" s="699"/>
      <c r="AF263" s="699"/>
      <c r="AG263" s="699"/>
      <c r="AH263" s="699"/>
      <c r="AI263" s="699"/>
    </row>
    <row r="264" spans="2:35" ht="21" customHeight="1" x14ac:dyDescent="0.15">
      <c r="B264" s="699"/>
      <c r="C264" s="699"/>
      <c r="G264" s="699"/>
      <c r="H264" s="699"/>
      <c r="I264" s="699"/>
      <c r="J264" s="699"/>
      <c r="K264" s="699"/>
      <c r="L264" s="699"/>
      <c r="R264" s="699"/>
      <c r="S264" s="699"/>
      <c r="U264" s="172"/>
      <c r="X264" s="699"/>
      <c r="Y264" s="699"/>
      <c r="AA264" s="699"/>
      <c r="AB264" s="699"/>
      <c r="AC264" s="699"/>
      <c r="AD264" s="699"/>
      <c r="AF264" s="699"/>
      <c r="AG264" s="699"/>
      <c r="AH264" s="699"/>
      <c r="AI264" s="699"/>
    </row>
    <row r="265" spans="2:35" ht="21" customHeight="1" x14ac:dyDescent="0.15">
      <c r="B265" s="699"/>
      <c r="C265" s="699"/>
      <c r="G265" s="699"/>
      <c r="H265" s="699"/>
      <c r="I265" s="699"/>
      <c r="J265" s="699"/>
      <c r="K265" s="699"/>
      <c r="L265" s="699"/>
      <c r="R265" s="699"/>
      <c r="S265" s="699"/>
      <c r="U265" s="172"/>
      <c r="X265" s="699"/>
      <c r="Y265" s="699"/>
      <c r="AA265" s="699"/>
      <c r="AB265" s="699"/>
      <c r="AC265" s="699"/>
      <c r="AD265" s="699"/>
      <c r="AF265" s="699"/>
      <c r="AG265" s="699"/>
      <c r="AH265" s="699"/>
      <c r="AI265" s="699"/>
    </row>
    <row r="266" spans="2:35" ht="21" customHeight="1" x14ac:dyDescent="0.15">
      <c r="B266" s="699"/>
      <c r="C266" s="699"/>
      <c r="G266" s="699"/>
      <c r="H266" s="699"/>
      <c r="I266" s="699"/>
      <c r="J266" s="699"/>
      <c r="K266" s="699"/>
      <c r="L266" s="699"/>
      <c r="R266" s="699"/>
      <c r="S266" s="699"/>
      <c r="U266" s="172"/>
      <c r="X266" s="699"/>
      <c r="Y266" s="699"/>
      <c r="AA266" s="699"/>
      <c r="AB266" s="699"/>
      <c r="AC266" s="699"/>
      <c r="AD266" s="699"/>
      <c r="AF266" s="699"/>
      <c r="AG266" s="699"/>
      <c r="AH266" s="699"/>
      <c r="AI266" s="699"/>
    </row>
    <row r="267" spans="2:35" ht="21" customHeight="1" x14ac:dyDescent="0.15">
      <c r="B267" s="699"/>
      <c r="C267" s="699"/>
      <c r="G267" s="699"/>
      <c r="H267" s="699"/>
      <c r="I267" s="699"/>
      <c r="J267" s="699"/>
      <c r="K267" s="699"/>
      <c r="L267" s="699"/>
      <c r="R267" s="699"/>
      <c r="S267" s="699"/>
      <c r="U267" s="172"/>
      <c r="X267" s="699"/>
      <c r="Y267" s="699"/>
      <c r="AA267" s="699"/>
      <c r="AB267" s="699"/>
      <c r="AC267" s="699"/>
      <c r="AD267" s="699"/>
      <c r="AF267" s="699"/>
      <c r="AG267" s="699"/>
      <c r="AH267" s="699"/>
      <c r="AI267" s="699"/>
    </row>
    <row r="268" spans="2:35" ht="21" customHeight="1" x14ac:dyDescent="0.15">
      <c r="B268" s="699"/>
      <c r="C268" s="699"/>
      <c r="G268" s="699"/>
      <c r="H268" s="699"/>
      <c r="I268" s="699"/>
      <c r="J268" s="699"/>
      <c r="K268" s="699"/>
      <c r="L268" s="699"/>
      <c r="R268" s="699"/>
      <c r="S268" s="699"/>
      <c r="U268" s="172"/>
      <c r="X268" s="699"/>
      <c r="Y268" s="699"/>
      <c r="AA268" s="699"/>
      <c r="AB268" s="699"/>
      <c r="AC268" s="699"/>
      <c r="AD268" s="699"/>
      <c r="AF268" s="699"/>
      <c r="AG268" s="699"/>
      <c r="AH268" s="699"/>
      <c r="AI268" s="699"/>
    </row>
    <row r="269" spans="2:35" ht="21" customHeight="1" x14ac:dyDescent="0.15">
      <c r="B269" s="699"/>
      <c r="C269" s="699"/>
      <c r="G269" s="699"/>
      <c r="H269" s="699"/>
      <c r="I269" s="699"/>
      <c r="J269" s="699"/>
      <c r="K269" s="699"/>
      <c r="L269" s="699"/>
      <c r="R269" s="699"/>
      <c r="S269" s="699"/>
      <c r="U269" s="172"/>
      <c r="X269" s="699"/>
      <c r="Y269" s="699"/>
      <c r="AA269" s="699"/>
      <c r="AB269" s="699"/>
      <c r="AC269" s="699"/>
      <c r="AD269" s="699"/>
      <c r="AF269" s="699"/>
      <c r="AG269" s="699"/>
      <c r="AH269" s="699"/>
      <c r="AI269" s="699"/>
    </row>
    <row r="270" spans="2:35" ht="21" customHeight="1" x14ac:dyDescent="0.15">
      <c r="B270" s="699"/>
      <c r="C270" s="699"/>
      <c r="G270" s="699"/>
      <c r="H270" s="699"/>
      <c r="I270" s="699"/>
      <c r="J270" s="699"/>
      <c r="K270" s="699"/>
      <c r="L270" s="699"/>
      <c r="R270" s="699"/>
      <c r="S270" s="699"/>
      <c r="U270" s="172"/>
      <c r="X270" s="699"/>
      <c r="Y270" s="699"/>
      <c r="AA270" s="699"/>
      <c r="AB270" s="699"/>
      <c r="AC270" s="699"/>
      <c r="AD270" s="699"/>
      <c r="AF270" s="699"/>
      <c r="AG270" s="699"/>
      <c r="AH270" s="699"/>
      <c r="AI270" s="699"/>
    </row>
    <row r="271" spans="2:35" ht="21" customHeight="1" x14ac:dyDescent="0.15">
      <c r="B271" s="699"/>
      <c r="C271" s="699"/>
      <c r="G271" s="699"/>
      <c r="H271" s="699"/>
      <c r="I271" s="699"/>
      <c r="J271" s="699"/>
      <c r="K271" s="699"/>
      <c r="L271" s="699"/>
      <c r="R271" s="699"/>
      <c r="S271" s="699"/>
      <c r="U271" s="172"/>
      <c r="X271" s="699"/>
      <c r="Y271" s="699"/>
      <c r="AA271" s="699"/>
      <c r="AB271" s="699"/>
      <c r="AC271" s="699"/>
      <c r="AD271" s="699"/>
      <c r="AF271" s="699"/>
      <c r="AG271" s="699"/>
      <c r="AH271" s="699"/>
      <c r="AI271" s="699"/>
    </row>
    <row r="272" spans="2:35" ht="21" customHeight="1" x14ac:dyDescent="0.15">
      <c r="B272" s="699"/>
      <c r="C272" s="699"/>
      <c r="G272" s="699"/>
      <c r="H272" s="699"/>
      <c r="I272" s="699"/>
      <c r="J272" s="699"/>
      <c r="K272" s="699"/>
      <c r="L272" s="699"/>
      <c r="R272" s="699"/>
      <c r="S272" s="699"/>
      <c r="U272" s="172"/>
      <c r="X272" s="699"/>
      <c r="Y272" s="699"/>
      <c r="AA272" s="699"/>
      <c r="AB272" s="699"/>
      <c r="AC272" s="699"/>
      <c r="AD272" s="699"/>
      <c r="AF272" s="699"/>
      <c r="AG272" s="699"/>
      <c r="AH272" s="699"/>
      <c r="AI272" s="699"/>
    </row>
    <row r="273" spans="2:35" ht="21" customHeight="1" x14ac:dyDescent="0.15">
      <c r="B273" s="699"/>
      <c r="C273" s="699"/>
      <c r="G273" s="699"/>
      <c r="H273" s="699"/>
      <c r="I273" s="699"/>
      <c r="J273" s="699"/>
      <c r="K273" s="699"/>
      <c r="L273" s="699"/>
      <c r="R273" s="699"/>
      <c r="S273" s="699"/>
      <c r="U273" s="172"/>
      <c r="X273" s="699"/>
      <c r="Y273" s="699"/>
      <c r="AA273" s="699"/>
      <c r="AB273" s="699"/>
      <c r="AC273" s="699"/>
      <c r="AD273" s="699"/>
      <c r="AF273" s="699"/>
      <c r="AG273" s="699"/>
      <c r="AH273" s="699"/>
      <c r="AI273" s="699"/>
    </row>
    <row r="274" spans="2:35" ht="21" customHeight="1" x14ac:dyDescent="0.15">
      <c r="B274" s="699"/>
      <c r="C274" s="699"/>
      <c r="G274" s="699"/>
      <c r="H274" s="699"/>
      <c r="I274" s="699"/>
      <c r="J274" s="699"/>
      <c r="K274" s="699"/>
      <c r="L274" s="699"/>
      <c r="R274" s="699"/>
      <c r="S274" s="699"/>
      <c r="U274" s="172"/>
      <c r="X274" s="699"/>
      <c r="Y274" s="699"/>
      <c r="AA274" s="699"/>
      <c r="AB274" s="699"/>
      <c r="AC274" s="699"/>
      <c r="AD274" s="699"/>
      <c r="AF274" s="699"/>
      <c r="AG274" s="699"/>
      <c r="AH274" s="699"/>
      <c r="AI274" s="699"/>
    </row>
    <row r="275" spans="2:35" ht="21" customHeight="1" x14ac:dyDescent="0.15">
      <c r="B275" s="699"/>
      <c r="C275" s="699"/>
      <c r="G275" s="699"/>
      <c r="H275" s="699"/>
      <c r="I275" s="699"/>
      <c r="J275" s="699"/>
      <c r="K275" s="699"/>
      <c r="L275" s="699"/>
      <c r="R275" s="699"/>
      <c r="S275" s="699"/>
      <c r="U275" s="172"/>
      <c r="X275" s="699"/>
      <c r="Y275" s="699"/>
      <c r="AA275" s="699"/>
      <c r="AB275" s="699"/>
      <c r="AC275" s="699"/>
      <c r="AD275" s="699"/>
      <c r="AF275" s="699"/>
      <c r="AG275" s="699"/>
      <c r="AH275" s="699"/>
      <c r="AI275" s="699"/>
    </row>
    <row r="276" spans="2:35" ht="21" customHeight="1" x14ac:dyDescent="0.15">
      <c r="B276" s="699"/>
      <c r="C276" s="699"/>
      <c r="G276" s="699"/>
      <c r="H276" s="699"/>
      <c r="I276" s="699"/>
      <c r="J276" s="699"/>
      <c r="K276" s="699"/>
      <c r="L276" s="699"/>
      <c r="R276" s="699"/>
      <c r="S276" s="699"/>
      <c r="U276" s="172"/>
      <c r="X276" s="699"/>
      <c r="Y276" s="699"/>
      <c r="AA276" s="699"/>
      <c r="AB276" s="699"/>
      <c r="AC276" s="699"/>
      <c r="AD276" s="699"/>
      <c r="AF276" s="699"/>
      <c r="AG276" s="699"/>
      <c r="AH276" s="699"/>
      <c r="AI276" s="699"/>
    </row>
    <row r="277" spans="2:35" ht="21" customHeight="1" x14ac:dyDescent="0.15">
      <c r="B277" s="699"/>
      <c r="C277" s="699"/>
      <c r="G277" s="699"/>
      <c r="H277" s="699"/>
      <c r="I277" s="699"/>
      <c r="J277" s="699"/>
      <c r="K277" s="699"/>
      <c r="L277" s="699"/>
      <c r="R277" s="699"/>
      <c r="S277" s="699"/>
      <c r="U277" s="172"/>
      <c r="X277" s="699"/>
      <c r="Y277" s="699"/>
      <c r="AA277" s="699"/>
      <c r="AB277" s="699"/>
      <c r="AC277" s="699"/>
      <c r="AD277" s="699"/>
      <c r="AF277" s="699"/>
      <c r="AG277" s="699"/>
      <c r="AH277" s="699"/>
      <c r="AI277" s="699"/>
    </row>
    <row r="278" spans="2:35" ht="21" customHeight="1" x14ac:dyDescent="0.15">
      <c r="B278" s="699"/>
      <c r="C278" s="699"/>
      <c r="G278" s="699"/>
      <c r="H278" s="699"/>
      <c r="I278" s="699"/>
      <c r="J278" s="699"/>
      <c r="K278" s="699"/>
      <c r="L278" s="699"/>
      <c r="R278" s="699"/>
      <c r="S278" s="699"/>
      <c r="U278" s="172"/>
      <c r="X278" s="699"/>
      <c r="Y278" s="699"/>
      <c r="AA278" s="699"/>
      <c r="AB278" s="699"/>
      <c r="AC278" s="699"/>
      <c r="AD278" s="699"/>
      <c r="AF278" s="699"/>
      <c r="AG278" s="699"/>
      <c r="AH278" s="699"/>
      <c r="AI278" s="699"/>
    </row>
    <row r="279" spans="2:35" ht="21" customHeight="1" x14ac:dyDescent="0.15">
      <c r="B279" s="699"/>
      <c r="C279" s="699"/>
      <c r="G279" s="699"/>
      <c r="H279" s="699"/>
      <c r="I279" s="699"/>
      <c r="J279" s="699"/>
      <c r="K279" s="699"/>
      <c r="L279" s="699"/>
      <c r="R279" s="699"/>
      <c r="S279" s="699"/>
      <c r="U279" s="172"/>
      <c r="X279" s="699"/>
      <c r="Y279" s="699"/>
      <c r="AA279" s="699"/>
      <c r="AB279" s="699"/>
      <c r="AC279" s="699"/>
      <c r="AD279" s="699"/>
      <c r="AF279" s="699"/>
      <c r="AG279" s="699"/>
      <c r="AH279" s="699"/>
      <c r="AI279" s="699"/>
    </row>
    <row r="280" spans="2:35" ht="21" customHeight="1" x14ac:dyDescent="0.15">
      <c r="B280" s="699"/>
      <c r="C280" s="699"/>
      <c r="G280" s="699"/>
      <c r="H280" s="699"/>
      <c r="I280" s="699"/>
      <c r="J280" s="699"/>
      <c r="K280" s="699"/>
      <c r="L280" s="699"/>
      <c r="R280" s="699"/>
      <c r="S280" s="699"/>
      <c r="U280" s="172"/>
      <c r="X280" s="699"/>
      <c r="Y280" s="699"/>
      <c r="AA280" s="699"/>
      <c r="AB280" s="699"/>
      <c r="AC280" s="699"/>
      <c r="AD280" s="699"/>
      <c r="AF280" s="699"/>
      <c r="AG280" s="699"/>
      <c r="AH280" s="699"/>
      <c r="AI280" s="699"/>
    </row>
    <row r="281" spans="2:35" ht="21" customHeight="1" x14ac:dyDescent="0.15">
      <c r="B281" s="699"/>
      <c r="C281" s="699"/>
      <c r="G281" s="699"/>
      <c r="H281" s="699"/>
      <c r="I281" s="699"/>
      <c r="J281" s="699"/>
      <c r="K281" s="699"/>
      <c r="L281" s="699"/>
      <c r="R281" s="699"/>
      <c r="S281" s="699"/>
      <c r="U281" s="172"/>
      <c r="X281" s="699"/>
      <c r="Y281" s="699"/>
      <c r="AA281" s="699"/>
      <c r="AB281" s="699"/>
      <c r="AC281" s="699"/>
      <c r="AD281" s="699"/>
      <c r="AF281" s="699"/>
      <c r="AG281" s="699"/>
      <c r="AH281" s="699"/>
      <c r="AI281" s="699"/>
    </row>
    <row r="282" spans="2:35" ht="21" customHeight="1" x14ac:dyDescent="0.15">
      <c r="B282" s="699"/>
      <c r="C282" s="699"/>
      <c r="G282" s="699"/>
      <c r="H282" s="699"/>
      <c r="I282" s="699"/>
      <c r="J282" s="699"/>
      <c r="K282" s="699"/>
      <c r="L282" s="699"/>
      <c r="R282" s="699"/>
      <c r="S282" s="699"/>
      <c r="U282" s="172"/>
      <c r="X282" s="699"/>
      <c r="Y282" s="699"/>
      <c r="AA282" s="699"/>
      <c r="AB282" s="699"/>
      <c r="AC282" s="699"/>
      <c r="AD282" s="699"/>
      <c r="AF282" s="699"/>
      <c r="AG282" s="699"/>
      <c r="AH282" s="699"/>
      <c r="AI282" s="699"/>
    </row>
    <row r="283" spans="2:35" ht="21" customHeight="1" x14ac:dyDescent="0.15">
      <c r="B283" s="699"/>
      <c r="C283" s="699"/>
      <c r="G283" s="699"/>
      <c r="H283" s="699"/>
      <c r="I283" s="699"/>
      <c r="J283" s="699"/>
      <c r="K283" s="699"/>
      <c r="L283" s="699"/>
      <c r="R283" s="699"/>
      <c r="S283" s="699"/>
      <c r="U283" s="172"/>
      <c r="X283" s="699"/>
      <c r="Y283" s="699"/>
      <c r="AA283" s="699"/>
      <c r="AB283" s="699"/>
      <c r="AC283" s="699"/>
      <c r="AD283" s="699"/>
      <c r="AF283" s="699"/>
      <c r="AG283" s="699"/>
      <c r="AH283" s="699"/>
      <c r="AI283" s="699"/>
    </row>
    <row r="284" spans="2:35" ht="21" customHeight="1" x14ac:dyDescent="0.15">
      <c r="B284" s="699"/>
      <c r="C284" s="699"/>
      <c r="G284" s="699"/>
      <c r="H284" s="699"/>
      <c r="I284" s="699"/>
      <c r="J284" s="699"/>
      <c r="K284" s="699"/>
      <c r="L284" s="699"/>
      <c r="R284" s="699"/>
      <c r="S284" s="699"/>
      <c r="U284" s="172"/>
      <c r="X284" s="699"/>
      <c r="Y284" s="699"/>
      <c r="AA284" s="699"/>
      <c r="AB284" s="699"/>
      <c r="AC284" s="699"/>
      <c r="AD284" s="699"/>
      <c r="AF284" s="699"/>
      <c r="AG284" s="699"/>
      <c r="AH284" s="699"/>
      <c r="AI284" s="699"/>
    </row>
    <row r="285" spans="2:35" ht="21" customHeight="1" x14ac:dyDescent="0.15">
      <c r="B285" s="699"/>
      <c r="C285" s="699"/>
      <c r="G285" s="699"/>
      <c r="H285" s="699"/>
      <c r="I285" s="699"/>
      <c r="J285" s="699"/>
      <c r="K285" s="699"/>
      <c r="L285" s="699"/>
      <c r="R285" s="699"/>
      <c r="S285" s="699"/>
      <c r="U285" s="172"/>
      <c r="X285" s="699"/>
      <c r="Y285" s="699"/>
      <c r="AA285" s="699"/>
      <c r="AB285" s="699"/>
      <c r="AC285" s="699"/>
      <c r="AD285" s="699"/>
      <c r="AF285" s="699"/>
      <c r="AG285" s="699"/>
      <c r="AH285" s="699"/>
      <c r="AI285" s="699"/>
    </row>
    <row r="286" spans="2:35" ht="21" customHeight="1" x14ac:dyDescent="0.15">
      <c r="B286" s="699"/>
      <c r="C286" s="699"/>
      <c r="G286" s="699"/>
      <c r="H286" s="699"/>
      <c r="I286" s="699"/>
      <c r="J286" s="699"/>
      <c r="K286" s="699"/>
      <c r="L286" s="699"/>
      <c r="R286" s="699"/>
      <c r="S286" s="699"/>
      <c r="U286" s="172"/>
      <c r="X286" s="699"/>
      <c r="Y286" s="699"/>
      <c r="AA286" s="699"/>
      <c r="AB286" s="699"/>
      <c r="AC286" s="699"/>
      <c r="AD286" s="699"/>
      <c r="AF286" s="699"/>
      <c r="AG286" s="699"/>
      <c r="AH286" s="699"/>
      <c r="AI286" s="699"/>
    </row>
    <row r="287" spans="2:35" ht="21" customHeight="1" x14ac:dyDescent="0.15">
      <c r="B287" s="699"/>
      <c r="C287" s="699"/>
      <c r="G287" s="699"/>
      <c r="H287" s="699"/>
      <c r="I287" s="699"/>
      <c r="J287" s="699"/>
      <c r="K287" s="699"/>
      <c r="L287" s="699"/>
      <c r="R287" s="699"/>
      <c r="S287" s="699"/>
      <c r="U287" s="172"/>
      <c r="X287" s="699"/>
      <c r="Y287" s="699"/>
      <c r="AA287" s="699"/>
      <c r="AB287" s="699"/>
      <c r="AC287" s="699"/>
      <c r="AD287" s="699"/>
      <c r="AF287" s="699"/>
      <c r="AG287" s="699"/>
      <c r="AH287" s="699"/>
      <c r="AI287" s="699"/>
    </row>
    <row r="288" spans="2:35" ht="21" customHeight="1" x14ac:dyDescent="0.15">
      <c r="B288" s="699"/>
      <c r="C288" s="699"/>
      <c r="G288" s="699"/>
      <c r="H288" s="699"/>
      <c r="I288" s="699"/>
      <c r="J288" s="699"/>
      <c r="K288" s="699"/>
      <c r="L288" s="699"/>
      <c r="R288" s="699"/>
      <c r="S288" s="699"/>
      <c r="U288" s="172"/>
      <c r="X288" s="699"/>
      <c r="Y288" s="699"/>
      <c r="AA288" s="699"/>
      <c r="AB288" s="699"/>
      <c r="AC288" s="699"/>
      <c r="AD288" s="699"/>
      <c r="AF288" s="699"/>
      <c r="AG288" s="699"/>
      <c r="AH288" s="699"/>
      <c r="AI288" s="699"/>
    </row>
    <row r="289" spans="2:35" ht="21" customHeight="1" x14ac:dyDescent="0.15">
      <c r="B289" s="699"/>
      <c r="C289" s="699"/>
      <c r="G289" s="699"/>
      <c r="H289" s="699"/>
      <c r="I289" s="699"/>
      <c r="J289" s="699"/>
      <c r="K289" s="699"/>
      <c r="L289" s="699"/>
      <c r="R289" s="699"/>
      <c r="S289" s="699"/>
      <c r="U289" s="172"/>
      <c r="X289" s="699"/>
      <c r="Y289" s="699"/>
      <c r="AA289" s="699"/>
      <c r="AB289" s="699"/>
      <c r="AC289" s="699"/>
      <c r="AD289" s="699"/>
      <c r="AF289" s="699"/>
      <c r="AG289" s="699"/>
      <c r="AH289" s="699"/>
      <c r="AI289" s="699"/>
    </row>
    <row r="290" spans="2:35" ht="21" customHeight="1" x14ac:dyDescent="0.15">
      <c r="B290" s="699"/>
      <c r="C290" s="699"/>
      <c r="G290" s="699"/>
      <c r="H290" s="699"/>
      <c r="I290" s="699"/>
      <c r="J290" s="699"/>
      <c r="K290" s="699"/>
      <c r="L290" s="699"/>
      <c r="R290" s="699"/>
      <c r="S290" s="699"/>
      <c r="U290" s="172"/>
      <c r="X290" s="699"/>
      <c r="Y290" s="699"/>
      <c r="AA290" s="699"/>
      <c r="AB290" s="699"/>
      <c r="AC290" s="699"/>
      <c r="AD290" s="699"/>
      <c r="AF290" s="699"/>
      <c r="AG290" s="699"/>
      <c r="AH290" s="699"/>
      <c r="AI290" s="699"/>
    </row>
    <row r="291" spans="2:35" ht="21" customHeight="1" x14ac:dyDescent="0.15">
      <c r="B291" s="699"/>
      <c r="C291" s="699"/>
      <c r="G291" s="699"/>
      <c r="H291" s="699"/>
      <c r="I291" s="699"/>
      <c r="J291" s="699"/>
      <c r="K291" s="699"/>
      <c r="L291" s="699"/>
      <c r="R291" s="699"/>
      <c r="S291" s="699"/>
      <c r="U291" s="172"/>
      <c r="X291" s="699"/>
      <c r="Y291" s="699"/>
      <c r="AA291" s="699"/>
      <c r="AB291" s="699"/>
      <c r="AC291" s="699"/>
      <c r="AD291" s="699"/>
      <c r="AF291" s="699"/>
      <c r="AG291" s="699"/>
      <c r="AH291" s="699"/>
      <c r="AI291" s="699"/>
    </row>
    <row r="292" spans="2:35" ht="21" customHeight="1" x14ac:dyDescent="0.15">
      <c r="B292" s="699"/>
      <c r="C292" s="699"/>
      <c r="G292" s="699"/>
      <c r="H292" s="699"/>
      <c r="I292" s="699"/>
      <c r="J292" s="699"/>
      <c r="K292" s="699"/>
      <c r="L292" s="699"/>
      <c r="R292" s="699"/>
      <c r="S292" s="699"/>
      <c r="U292" s="172"/>
      <c r="X292" s="699"/>
      <c r="Y292" s="699"/>
      <c r="AA292" s="699"/>
      <c r="AB292" s="699"/>
      <c r="AC292" s="699"/>
      <c r="AD292" s="699"/>
      <c r="AF292" s="699"/>
      <c r="AG292" s="699"/>
      <c r="AH292" s="699"/>
      <c r="AI292" s="699"/>
    </row>
    <row r="293" spans="2:35" ht="21" customHeight="1" x14ac:dyDescent="0.15">
      <c r="B293" s="699"/>
      <c r="C293" s="699"/>
      <c r="G293" s="699"/>
      <c r="H293" s="699"/>
      <c r="I293" s="699"/>
      <c r="J293" s="699"/>
      <c r="K293" s="699"/>
      <c r="L293" s="699"/>
      <c r="R293" s="699"/>
      <c r="S293" s="699"/>
      <c r="U293" s="172"/>
      <c r="X293" s="699"/>
      <c r="Y293" s="699"/>
      <c r="AA293" s="699"/>
      <c r="AB293" s="699"/>
      <c r="AC293" s="699"/>
      <c r="AD293" s="699"/>
      <c r="AF293" s="699"/>
      <c r="AG293" s="699"/>
      <c r="AH293" s="699"/>
      <c r="AI293" s="699"/>
    </row>
    <row r="294" spans="2:35" ht="21" customHeight="1" x14ac:dyDescent="0.15">
      <c r="B294" s="699"/>
      <c r="C294" s="699"/>
      <c r="G294" s="699"/>
      <c r="H294" s="699"/>
      <c r="I294" s="699"/>
      <c r="J294" s="699"/>
      <c r="K294" s="699"/>
      <c r="L294" s="699"/>
      <c r="R294" s="699"/>
      <c r="S294" s="699"/>
      <c r="U294" s="172"/>
      <c r="X294" s="699"/>
      <c r="Y294" s="699"/>
      <c r="AA294" s="699"/>
      <c r="AB294" s="699"/>
      <c r="AC294" s="699"/>
      <c r="AD294" s="699"/>
      <c r="AF294" s="699"/>
      <c r="AG294" s="699"/>
      <c r="AH294" s="699"/>
      <c r="AI294" s="699"/>
    </row>
    <row r="295" spans="2:35" ht="21" customHeight="1" x14ac:dyDescent="0.15">
      <c r="B295" s="699"/>
      <c r="C295" s="699"/>
      <c r="G295" s="699"/>
      <c r="H295" s="699"/>
      <c r="I295" s="699"/>
      <c r="J295" s="699"/>
      <c r="K295" s="699"/>
      <c r="L295" s="699"/>
      <c r="R295" s="699"/>
      <c r="S295" s="699"/>
      <c r="U295" s="172"/>
      <c r="X295" s="699"/>
      <c r="Y295" s="699"/>
      <c r="AA295" s="699"/>
      <c r="AB295" s="699"/>
      <c r="AC295" s="699"/>
      <c r="AD295" s="699"/>
      <c r="AF295" s="699"/>
      <c r="AG295" s="699"/>
      <c r="AH295" s="699"/>
      <c r="AI295" s="699"/>
    </row>
    <row r="296" spans="2:35" ht="21" customHeight="1" x14ac:dyDescent="0.15">
      <c r="B296" s="699"/>
      <c r="C296" s="699"/>
      <c r="G296" s="699"/>
      <c r="H296" s="699"/>
      <c r="I296" s="699"/>
      <c r="J296" s="699"/>
      <c r="K296" s="699"/>
      <c r="L296" s="699"/>
      <c r="R296" s="699"/>
      <c r="S296" s="699"/>
      <c r="U296" s="172"/>
      <c r="X296" s="699"/>
      <c r="Y296" s="699"/>
      <c r="AA296" s="699"/>
      <c r="AB296" s="699"/>
      <c r="AC296" s="699"/>
      <c r="AD296" s="699"/>
      <c r="AF296" s="699"/>
      <c r="AG296" s="699"/>
      <c r="AH296" s="699"/>
      <c r="AI296" s="699"/>
    </row>
    <row r="297" spans="2:35" ht="21" customHeight="1" x14ac:dyDescent="0.15">
      <c r="B297" s="699"/>
      <c r="C297" s="699"/>
      <c r="G297" s="699"/>
      <c r="H297" s="699"/>
      <c r="I297" s="699"/>
      <c r="J297" s="699"/>
      <c r="K297" s="699"/>
      <c r="L297" s="699"/>
      <c r="R297" s="699"/>
      <c r="S297" s="699"/>
      <c r="U297" s="172"/>
      <c r="X297" s="699"/>
      <c r="Y297" s="699"/>
      <c r="AA297" s="699"/>
      <c r="AB297" s="699"/>
      <c r="AC297" s="699"/>
      <c r="AD297" s="699"/>
      <c r="AF297" s="699"/>
      <c r="AG297" s="699"/>
      <c r="AH297" s="699"/>
      <c r="AI297" s="699"/>
    </row>
    <row r="298" spans="2:35" ht="21" customHeight="1" x14ac:dyDescent="0.15">
      <c r="B298" s="699"/>
      <c r="C298" s="699"/>
      <c r="G298" s="699"/>
      <c r="H298" s="699"/>
      <c r="I298" s="699"/>
      <c r="J298" s="699"/>
      <c r="K298" s="699"/>
      <c r="L298" s="699"/>
      <c r="R298" s="699"/>
      <c r="S298" s="699"/>
      <c r="U298" s="172"/>
      <c r="X298" s="699"/>
      <c r="Y298" s="699"/>
      <c r="AA298" s="699"/>
      <c r="AB298" s="699"/>
      <c r="AC298" s="699"/>
      <c r="AD298" s="699"/>
      <c r="AF298" s="699"/>
      <c r="AG298" s="699"/>
      <c r="AH298" s="699"/>
      <c r="AI298" s="699"/>
    </row>
    <row r="299" spans="2:35" ht="21" customHeight="1" x14ac:dyDescent="0.15">
      <c r="B299" s="699"/>
      <c r="C299" s="699"/>
      <c r="G299" s="699"/>
      <c r="H299" s="699"/>
      <c r="I299" s="699"/>
      <c r="J299" s="699"/>
      <c r="K299" s="699"/>
      <c r="L299" s="699"/>
      <c r="R299" s="699"/>
      <c r="S299" s="699"/>
      <c r="U299" s="172"/>
      <c r="X299" s="699"/>
      <c r="Y299" s="699"/>
      <c r="AA299" s="699"/>
      <c r="AB299" s="699"/>
      <c r="AC299" s="699"/>
      <c r="AD299" s="699"/>
      <c r="AF299" s="699"/>
      <c r="AG299" s="699"/>
      <c r="AH299" s="699"/>
      <c r="AI299" s="699"/>
    </row>
    <row r="300" spans="2:35" ht="21" customHeight="1" x14ac:dyDescent="0.15">
      <c r="B300" s="699"/>
      <c r="C300" s="699"/>
      <c r="G300" s="699"/>
      <c r="H300" s="699"/>
      <c r="I300" s="699"/>
      <c r="J300" s="699"/>
      <c r="K300" s="699"/>
      <c r="L300" s="699"/>
      <c r="R300" s="699"/>
      <c r="S300" s="699"/>
      <c r="U300" s="172"/>
      <c r="X300" s="699"/>
      <c r="Y300" s="699"/>
      <c r="AA300" s="699"/>
      <c r="AB300" s="699"/>
      <c r="AC300" s="699"/>
      <c r="AD300" s="699"/>
      <c r="AF300" s="699"/>
      <c r="AG300" s="699"/>
      <c r="AH300" s="699"/>
      <c r="AI300" s="699"/>
    </row>
    <row r="301" spans="2:35" ht="21" customHeight="1" x14ac:dyDescent="0.15">
      <c r="B301" s="699"/>
      <c r="C301" s="699"/>
      <c r="G301" s="699"/>
      <c r="H301" s="699"/>
      <c r="I301" s="699"/>
      <c r="J301" s="699"/>
      <c r="K301" s="699"/>
      <c r="L301" s="699"/>
      <c r="R301" s="699"/>
      <c r="S301" s="699"/>
      <c r="U301" s="172"/>
      <c r="X301" s="699"/>
      <c r="Y301" s="699"/>
      <c r="AA301" s="699"/>
      <c r="AB301" s="699"/>
      <c r="AC301" s="699"/>
      <c r="AD301" s="699"/>
      <c r="AF301" s="699"/>
      <c r="AG301" s="699"/>
      <c r="AH301" s="699"/>
      <c r="AI301" s="699"/>
    </row>
    <row r="302" spans="2:35" ht="21" customHeight="1" x14ac:dyDescent="0.15">
      <c r="B302" s="699"/>
      <c r="C302" s="699"/>
      <c r="G302" s="699"/>
      <c r="H302" s="699"/>
      <c r="I302" s="699"/>
      <c r="J302" s="699"/>
      <c r="K302" s="699"/>
      <c r="L302" s="699"/>
      <c r="R302" s="699"/>
      <c r="S302" s="699"/>
      <c r="U302" s="172"/>
      <c r="X302" s="699"/>
      <c r="Y302" s="699"/>
      <c r="AA302" s="699"/>
      <c r="AB302" s="699"/>
      <c r="AC302" s="699"/>
      <c r="AD302" s="699"/>
      <c r="AF302" s="699"/>
      <c r="AG302" s="699"/>
      <c r="AH302" s="699"/>
      <c r="AI302" s="699"/>
    </row>
    <row r="303" spans="2:35" ht="21" customHeight="1" x14ac:dyDescent="0.15">
      <c r="B303" s="699"/>
      <c r="C303" s="699"/>
      <c r="G303" s="699"/>
      <c r="H303" s="699"/>
      <c r="I303" s="699"/>
      <c r="J303" s="699"/>
      <c r="K303" s="699"/>
      <c r="L303" s="699"/>
      <c r="R303" s="699"/>
      <c r="S303" s="699"/>
      <c r="U303" s="172"/>
      <c r="X303" s="699"/>
      <c r="Y303" s="699"/>
      <c r="AA303" s="699"/>
      <c r="AB303" s="699"/>
      <c r="AC303" s="699"/>
      <c r="AD303" s="699"/>
      <c r="AF303" s="699"/>
      <c r="AG303" s="699"/>
      <c r="AH303" s="699"/>
      <c r="AI303" s="699"/>
    </row>
    <row r="304" spans="2:35" ht="21" customHeight="1" x14ac:dyDescent="0.15">
      <c r="B304" s="699"/>
      <c r="C304" s="699"/>
      <c r="G304" s="699"/>
      <c r="H304" s="699"/>
      <c r="I304" s="699"/>
      <c r="J304" s="699"/>
      <c r="K304" s="699"/>
      <c r="L304" s="699"/>
      <c r="R304" s="699"/>
      <c r="S304" s="699"/>
      <c r="U304" s="172"/>
      <c r="X304" s="699"/>
      <c r="Y304" s="699"/>
      <c r="AA304" s="699"/>
      <c r="AB304" s="699"/>
      <c r="AC304" s="699"/>
      <c r="AD304" s="699"/>
      <c r="AF304" s="699"/>
      <c r="AG304" s="699"/>
      <c r="AH304" s="699"/>
      <c r="AI304" s="699"/>
    </row>
    <row r="305" spans="2:35" ht="21" customHeight="1" x14ac:dyDescent="0.15">
      <c r="B305" s="699"/>
      <c r="C305" s="699"/>
      <c r="G305" s="699"/>
      <c r="H305" s="699"/>
      <c r="I305" s="699"/>
      <c r="J305" s="699"/>
      <c r="K305" s="699"/>
      <c r="L305" s="699"/>
      <c r="R305" s="699"/>
      <c r="S305" s="699"/>
      <c r="U305" s="172"/>
      <c r="X305" s="699"/>
      <c r="Y305" s="699"/>
      <c r="AA305" s="699"/>
      <c r="AB305" s="699"/>
      <c r="AC305" s="699"/>
      <c r="AD305" s="699"/>
      <c r="AF305" s="699"/>
      <c r="AG305" s="699"/>
      <c r="AH305" s="699"/>
      <c r="AI305" s="699"/>
    </row>
    <row r="306" spans="2:35" ht="21" customHeight="1" x14ac:dyDescent="0.15">
      <c r="B306" s="699"/>
      <c r="C306" s="699"/>
      <c r="G306" s="699"/>
      <c r="H306" s="699"/>
      <c r="I306" s="699"/>
      <c r="J306" s="699"/>
      <c r="K306" s="699"/>
      <c r="L306" s="699"/>
      <c r="R306" s="699"/>
      <c r="S306" s="699"/>
      <c r="U306" s="172"/>
      <c r="X306" s="699"/>
      <c r="Y306" s="699"/>
      <c r="AA306" s="699"/>
      <c r="AB306" s="699"/>
      <c r="AC306" s="699"/>
      <c r="AD306" s="699"/>
      <c r="AF306" s="699"/>
      <c r="AG306" s="699"/>
      <c r="AH306" s="699"/>
      <c r="AI306" s="699"/>
    </row>
    <row r="307" spans="2:35" ht="21" customHeight="1" x14ac:dyDescent="0.15">
      <c r="B307" s="699"/>
      <c r="C307" s="699"/>
      <c r="G307" s="699"/>
      <c r="H307" s="699"/>
      <c r="I307" s="699"/>
      <c r="J307" s="699"/>
      <c r="K307" s="699"/>
      <c r="L307" s="699"/>
      <c r="R307" s="699"/>
      <c r="S307" s="699"/>
      <c r="U307" s="172"/>
      <c r="X307" s="699"/>
      <c r="Y307" s="699"/>
      <c r="AA307" s="699"/>
      <c r="AB307" s="699"/>
      <c r="AC307" s="699"/>
      <c r="AD307" s="699"/>
      <c r="AF307" s="699"/>
      <c r="AG307" s="699"/>
      <c r="AH307" s="699"/>
      <c r="AI307" s="699"/>
    </row>
    <row r="308" spans="2:35" ht="21" customHeight="1" x14ac:dyDescent="0.15">
      <c r="B308" s="699"/>
      <c r="C308" s="699"/>
      <c r="G308" s="699"/>
      <c r="H308" s="699"/>
      <c r="I308" s="699"/>
      <c r="J308" s="699"/>
      <c r="K308" s="699"/>
      <c r="L308" s="699"/>
      <c r="R308" s="699"/>
      <c r="S308" s="699"/>
      <c r="U308" s="172"/>
      <c r="X308" s="699"/>
      <c r="Y308" s="699"/>
      <c r="AA308" s="699"/>
      <c r="AB308" s="699"/>
      <c r="AC308" s="699"/>
      <c r="AD308" s="699"/>
      <c r="AF308" s="699"/>
      <c r="AG308" s="699"/>
      <c r="AH308" s="699"/>
      <c r="AI308" s="699"/>
    </row>
    <row r="309" spans="2:35" ht="21" customHeight="1" x14ac:dyDescent="0.15">
      <c r="B309" s="699"/>
      <c r="C309" s="699"/>
      <c r="G309" s="699"/>
      <c r="H309" s="699"/>
      <c r="I309" s="699"/>
      <c r="J309" s="699"/>
      <c r="K309" s="699"/>
      <c r="L309" s="699"/>
      <c r="R309" s="699"/>
      <c r="S309" s="699"/>
      <c r="U309" s="172"/>
      <c r="X309" s="699"/>
      <c r="Y309" s="699"/>
      <c r="AA309" s="699"/>
      <c r="AB309" s="699"/>
      <c r="AC309" s="699"/>
      <c r="AD309" s="699"/>
      <c r="AF309" s="699"/>
      <c r="AG309" s="699"/>
      <c r="AH309" s="699"/>
      <c r="AI309" s="699"/>
    </row>
    <row r="310" spans="2:35" ht="21" customHeight="1" x14ac:dyDescent="0.15">
      <c r="B310" s="699"/>
      <c r="C310" s="699"/>
      <c r="G310" s="699"/>
      <c r="H310" s="699"/>
      <c r="I310" s="699"/>
      <c r="J310" s="699"/>
      <c r="K310" s="699"/>
      <c r="L310" s="699"/>
      <c r="R310" s="699"/>
      <c r="S310" s="699"/>
      <c r="U310" s="172"/>
      <c r="X310" s="699"/>
      <c r="Y310" s="699"/>
      <c r="AA310" s="699"/>
      <c r="AB310" s="699"/>
      <c r="AC310" s="699"/>
      <c r="AD310" s="699"/>
      <c r="AF310" s="699"/>
      <c r="AG310" s="699"/>
      <c r="AH310" s="699"/>
      <c r="AI310" s="699"/>
    </row>
    <row r="311" spans="2:35" ht="21" customHeight="1" x14ac:dyDescent="0.15">
      <c r="B311" s="699"/>
      <c r="C311" s="699"/>
      <c r="G311" s="699"/>
      <c r="H311" s="699"/>
      <c r="I311" s="699"/>
      <c r="J311" s="699"/>
      <c r="K311" s="699"/>
      <c r="L311" s="699"/>
      <c r="R311" s="699"/>
      <c r="S311" s="699"/>
      <c r="U311" s="172"/>
      <c r="X311" s="699"/>
      <c r="Y311" s="699"/>
      <c r="AA311" s="699"/>
      <c r="AB311" s="699"/>
      <c r="AC311" s="699"/>
      <c r="AD311" s="699"/>
      <c r="AF311" s="699"/>
      <c r="AG311" s="699"/>
      <c r="AH311" s="699"/>
      <c r="AI311" s="699"/>
    </row>
    <row r="312" spans="2:35" ht="21" customHeight="1" x14ac:dyDescent="0.15">
      <c r="B312" s="699"/>
      <c r="C312" s="699"/>
      <c r="G312" s="699"/>
      <c r="H312" s="699"/>
      <c r="I312" s="699"/>
      <c r="J312" s="699"/>
      <c r="K312" s="699"/>
      <c r="L312" s="699"/>
      <c r="R312" s="699"/>
      <c r="S312" s="699"/>
      <c r="U312" s="172"/>
      <c r="X312" s="699"/>
      <c r="Y312" s="699"/>
      <c r="AA312" s="699"/>
      <c r="AB312" s="699"/>
      <c r="AC312" s="699"/>
      <c r="AD312" s="699"/>
      <c r="AF312" s="699"/>
      <c r="AG312" s="699"/>
      <c r="AH312" s="699"/>
      <c r="AI312" s="699"/>
    </row>
    <row r="313" spans="2:35" ht="21" customHeight="1" x14ac:dyDescent="0.15">
      <c r="B313" s="699"/>
      <c r="C313" s="699"/>
      <c r="G313" s="699"/>
      <c r="H313" s="699"/>
      <c r="I313" s="699"/>
      <c r="J313" s="699"/>
      <c r="K313" s="699"/>
      <c r="L313" s="699"/>
      <c r="R313" s="699"/>
      <c r="S313" s="699"/>
      <c r="U313" s="172"/>
      <c r="X313" s="699"/>
      <c r="Y313" s="699"/>
      <c r="AA313" s="699"/>
      <c r="AB313" s="699"/>
      <c r="AC313" s="699"/>
      <c r="AD313" s="699"/>
      <c r="AF313" s="699"/>
      <c r="AG313" s="699"/>
      <c r="AH313" s="699"/>
      <c r="AI313" s="699"/>
    </row>
    <row r="314" spans="2:35" ht="21" customHeight="1" x14ac:dyDescent="0.15">
      <c r="B314" s="699"/>
      <c r="C314" s="699"/>
      <c r="G314" s="699"/>
      <c r="H314" s="699"/>
      <c r="I314" s="699"/>
      <c r="J314" s="699"/>
      <c r="K314" s="699"/>
      <c r="L314" s="699"/>
      <c r="R314" s="699"/>
      <c r="S314" s="699"/>
      <c r="U314" s="172"/>
      <c r="X314" s="699"/>
      <c r="Y314" s="699"/>
      <c r="AA314" s="699"/>
      <c r="AB314" s="699"/>
      <c r="AC314" s="699"/>
      <c r="AD314" s="699"/>
      <c r="AF314" s="699"/>
      <c r="AG314" s="699"/>
      <c r="AH314" s="699"/>
      <c r="AI314" s="699"/>
    </row>
    <row r="315" spans="2:35" ht="21" customHeight="1" x14ac:dyDescent="0.15">
      <c r="B315" s="699"/>
      <c r="C315" s="699"/>
      <c r="G315" s="699"/>
      <c r="H315" s="699"/>
      <c r="I315" s="699"/>
      <c r="J315" s="699"/>
      <c r="K315" s="699"/>
      <c r="L315" s="699"/>
      <c r="R315" s="699"/>
      <c r="S315" s="699"/>
      <c r="U315" s="172"/>
      <c r="X315" s="699"/>
      <c r="Y315" s="699"/>
      <c r="AA315" s="699"/>
      <c r="AB315" s="699"/>
      <c r="AC315" s="699"/>
      <c r="AD315" s="699"/>
      <c r="AF315" s="699"/>
      <c r="AG315" s="699"/>
      <c r="AH315" s="699"/>
      <c r="AI315" s="699"/>
    </row>
    <row r="316" spans="2:35" ht="21" customHeight="1" x14ac:dyDescent="0.15">
      <c r="B316" s="699"/>
      <c r="C316" s="699"/>
      <c r="G316" s="699"/>
      <c r="H316" s="699"/>
      <c r="I316" s="699"/>
      <c r="J316" s="699"/>
      <c r="K316" s="699"/>
      <c r="L316" s="699"/>
      <c r="R316" s="699"/>
      <c r="S316" s="699"/>
      <c r="U316" s="172"/>
      <c r="X316" s="699"/>
      <c r="Y316" s="699"/>
      <c r="AA316" s="699"/>
      <c r="AB316" s="699"/>
      <c r="AC316" s="699"/>
      <c r="AD316" s="699"/>
      <c r="AF316" s="699"/>
      <c r="AG316" s="699"/>
      <c r="AH316" s="699"/>
      <c r="AI316" s="699"/>
    </row>
    <row r="317" spans="2:35" ht="21" customHeight="1" x14ac:dyDescent="0.15">
      <c r="B317" s="699"/>
      <c r="C317" s="699"/>
      <c r="G317" s="699"/>
      <c r="H317" s="699"/>
      <c r="I317" s="699"/>
      <c r="J317" s="699"/>
      <c r="K317" s="699"/>
      <c r="L317" s="699"/>
      <c r="R317" s="699"/>
      <c r="S317" s="699"/>
      <c r="U317" s="172"/>
      <c r="X317" s="699"/>
      <c r="Y317" s="699"/>
      <c r="AA317" s="699"/>
      <c r="AB317" s="699"/>
      <c r="AC317" s="699"/>
      <c r="AD317" s="699"/>
      <c r="AF317" s="699"/>
      <c r="AG317" s="699"/>
      <c r="AH317" s="699"/>
      <c r="AI317" s="699"/>
    </row>
    <row r="318" spans="2:35" ht="21" customHeight="1" x14ac:dyDescent="0.15">
      <c r="B318" s="699"/>
      <c r="C318" s="699"/>
      <c r="G318" s="699"/>
      <c r="H318" s="699"/>
      <c r="I318" s="699"/>
      <c r="J318" s="699"/>
      <c r="K318" s="699"/>
      <c r="L318" s="699"/>
      <c r="R318" s="699"/>
      <c r="S318" s="699"/>
      <c r="U318" s="172"/>
      <c r="X318" s="699"/>
      <c r="Y318" s="699"/>
      <c r="AA318" s="699"/>
      <c r="AB318" s="699"/>
      <c r="AC318" s="699"/>
      <c r="AD318" s="699"/>
      <c r="AF318" s="699"/>
      <c r="AG318" s="699"/>
      <c r="AH318" s="699"/>
      <c r="AI318" s="699"/>
    </row>
    <row r="319" spans="2:35" ht="21" customHeight="1" x14ac:dyDescent="0.15">
      <c r="B319" s="699"/>
      <c r="C319" s="699"/>
      <c r="G319" s="699"/>
      <c r="H319" s="699"/>
      <c r="I319" s="699"/>
      <c r="J319" s="699"/>
      <c r="K319" s="699"/>
      <c r="L319" s="699"/>
      <c r="R319" s="699"/>
      <c r="S319" s="699"/>
      <c r="U319" s="172"/>
      <c r="X319" s="699"/>
      <c r="Y319" s="699"/>
      <c r="AA319" s="699"/>
      <c r="AB319" s="699"/>
      <c r="AC319" s="699"/>
      <c r="AD319" s="699"/>
      <c r="AF319" s="699"/>
      <c r="AG319" s="699"/>
      <c r="AH319" s="699"/>
      <c r="AI319" s="699"/>
    </row>
    <row r="320" spans="2:35" ht="21" customHeight="1" x14ac:dyDescent="0.15">
      <c r="B320" s="699"/>
      <c r="C320" s="699"/>
      <c r="G320" s="699"/>
      <c r="H320" s="699"/>
      <c r="I320" s="699"/>
      <c r="J320" s="699"/>
      <c r="K320" s="699"/>
      <c r="L320" s="699"/>
      <c r="R320" s="699"/>
      <c r="S320" s="699"/>
      <c r="U320" s="172"/>
      <c r="X320" s="699"/>
      <c r="Y320" s="699"/>
      <c r="AA320" s="699"/>
      <c r="AB320" s="699"/>
      <c r="AC320" s="699"/>
      <c r="AD320" s="699"/>
      <c r="AF320" s="699"/>
      <c r="AG320" s="699"/>
      <c r="AH320" s="699"/>
      <c r="AI320" s="699"/>
    </row>
    <row r="321" spans="2:35" ht="21" customHeight="1" x14ac:dyDescent="0.15">
      <c r="B321" s="699"/>
      <c r="C321" s="699"/>
      <c r="G321" s="699"/>
      <c r="H321" s="699"/>
      <c r="I321" s="699"/>
      <c r="J321" s="699"/>
      <c r="K321" s="699"/>
      <c r="L321" s="699"/>
      <c r="R321" s="699"/>
      <c r="S321" s="699"/>
      <c r="U321" s="172"/>
      <c r="X321" s="699"/>
      <c r="Y321" s="699"/>
      <c r="AA321" s="699"/>
      <c r="AB321" s="699"/>
      <c r="AC321" s="699"/>
      <c r="AD321" s="699"/>
      <c r="AF321" s="699"/>
      <c r="AG321" s="699"/>
      <c r="AH321" s="699"/>
      <c r="AI321" s="699"/>
    </row>
    <row r="322" spans="2:35" ht="21" customHeight="1" x14ac:dyDescent="0.15">
      <c r="B322" s="699"/>
      <c r="C322" s="699"/>
      <c r="G322" s="699"/>
      <c r="H322" s="699"/>
      <c r="I322" s="699"/>
      <c r="J322" s="699"/>
      <c r="K322" s="699"/>
      <c r="L322" s="699"/>
      <c r="R322" s="699"/>
      <c r="S322" s="699"/>
      <c r="U322" s="172"/>
      <c r="X322" s="699"/>
      <c r="Y322" s="699"/>
      <c r="AA322" s="699"/>
      <c r="AB322" s="699"/>
      <c r="AC322" s="699"/>
      <c r="AD322" s="699"/>
      <c r="AF322" s="699"/>
      <c r="AG322" s="699"/>
      <c r="AH322" s="699"/>
      <c r="AI322" s="699"/>
    </row>
    <row r="323" spans="2:35" ht="21" customHeight="1" x14ac:dyDescent="0.15">
      <c r="B323" s="699"/>
      <c r="C323" s="699"/>
      <c r="G323" s="699"/>
      <c r="H323" s="699"/>
      <c r="I323" s="699"/>
      <c r="J323" s="699"/>
      <c r="K323" s="699"/>
      <c r="L323" s="699"/>
      <c r="R323" s="699"/>
      <c r="S323" s="699"/>
      <c r="U323" s="172"/>
      <c r="X323" s="699"/>
      <c r="Y323" s="699"/>
      <c r="AA323" s="699"/>
      <c r="AB323" s="699"/>
      <c r="AC323" s="699"/>
      <c r="AD323" s="699"/>
      <c r="AF323" s="699"/>
      <c r="AG323" s="699"/>
      <c r="AH323" s="699"/>
      <c r="AI323" s="699"/>
    </row>
    <row r="324" spans="2:35" ht="21" customHeight="1" x14ac:dyDescent="0.15">
      <c r="B324" s="699"/>
      <c r="C324" s="699"/>
      <c r="G324" s="699"/>
      <c r="H324" s="699"/>
      <c r="I324" s="699"/>
      <c r="J324" s="699"/>
      <c r="K324" s="699"/>
      <c r="L324" s="699"/>
      <c r="R324" s="699"/>
      <c r="S324" s="699"/>
      <c r="U324" s="172"/>
      <c r="X324" s="699"/>
      <c r="Y324" s="699"/>
      <c r="AA324" s="699"/>
      <c r="AB324" s="699"/>
      <c r="AC324" s="699"/>
      <c r="AD324" s="699"/>
      <c r="AF324" s="699"/>
      <c r="AG324" s="699"/>
      <c r="AH324" s="699"/>
      <c r="AI324" s="699"/>
    </row>
    <row r="325" spans="2:35" ht="21" customHeight="1" x14ac:dyDescent="0.15">
      <c r="B325" s="699"/>
      <c r="C325" s="699"/>
      <c r="G325" s="699"/>
      <c r="H325" s="699"/>
      <c r="I325" s="699"/>
      <c r="J325" s="699"/>
      <c r="K325" s="699"/>
      <c r="L325" s="699"/>
      <c r="R325" s="699"/>
      <c r="S325" s="699"/>
      <c r="U325" s="172"/>
      <c r="X325" s="699"/>
      <c r="Y325" s="699"/>
      <c r="AA325" s="699"/>
      <c r="AB325" s="699"/>
      <c r="AC325" s="699"/>
      <c r="AD325" s="699"/>
      <c r="AF325" s="699"/>
      <c r="AG325" s="699"/>
      <c r="AH325" s="699"/>
      <c r="AI325" s="699"/>
    </row>
    <row r="326" spans="2:35" ht="21" customHeight="1" x14ac:dyDescent="0.15">
      <c r="B326" s="699"/>
      <c r="C326" s="699"/>
      <c r="G326" s="699"/>
      <c r="H326" s="699"/>
      <c r="I326" s="699"/>
      <c r="J326" s="699"/>
      <c r="K326" s="699"/>
      <c r="L326" s="699"/>
      <c r="R326" s="699"/>
      <c r="S326" s="699"/>
      <c r="U326" s="172"/>
      <c r="X326" s="699"/>
      <c r="Y326" s="699"/>
      <c r="AA326" s="699"/>
      <c r="AB326" s="699"/>
      <c r="AC326" s="699"/>
      <c r="AD326" s="699"/>
      <c r="AF326" s="699"/>
      <c r="AG326" s="699"/>
      <c r="AH326" s="699"/>
      <c r="AI326" s="699"/>
    </row>
    <row r="327" spans="2:35" ht="21" customHeight="1" x14ac:dyDescent="0.15">
      <c r="B327" s="699"/>
      <c r="C327" s="699"/>
      <c r="G327" s="699"/>
      <c r="H327" s="699"/>
      <c r="I327" s="699"/>
      <c r="J327" s="699"/>
      <c r="K327" s="699"/>
      <c r="L327" s="699"/>
      <c r="R327" s="699"/>
      <c r="S327" s="699"/>
      <c r="U327" s="172"/>
      <c r="X327" s="699"/>
      <c r="Y327" s="699"/>
      <c r="AA327" s="699"/>
      <c r="AB327" s="699"/>
      <c r="AC327" s="699"/>
      <c r="AD327" s="699"/>
      <c r="AF327" s="699"/>
      <c r="AG327" s="699"/>
      <c r="AH327" s="699"/>
      <c r="AI327" s="699"/>
    </row>
    <row r="328" spans="2:35" ht="21" customHeight="1" x14ac:dyDescent="0.15">
      <c r="B328" s="699"/>
      <c r="C328" s="699"/>
      <c r="G328" s="699"/>
      <c r="H328" s="699"/>
      <c r="I328" s="699"/>
      <c r="J328" s="699"/>
      <c r="K328" s="699"/>
      <c r="L328" s="699"/>
      <c r="R328" s="699"/>
      <c r="S328" s="699"/>
      <c r="U328" s="172"/>
      <c r="X328" s="699"/>
      <c r="Y328" s="699"/>
      <c r="AA328" s="699"/>
      <c r="AB328" s="699"/>
      <c r="AC328" s="699"/>
      <c r="AD328" s="699"/>
      <c r="AF328" s="699"/>
      <c r="AG328" s="699"/>
      <c r="AH328" s="699"/>
      <c r="AI328" s="699"/>
    </row>
    <row r="329" spans="2:35" ht="21" customHeight="1" x14ac:dyDescent="0.15">
      <c r="B329" s="699"/>
      <c r="C329" s="699"/>
      <c r="G329" s="699"/>
      <c r="H329" s="699"/>
      <c r="I329" s="699"/>
      <c r="J329" s="699"/>
      <c r="K329" s="699"/>
      <c r="L329" s="699"/>
      <c r="R329" s="699"/>
      <c r="S329" s="699"/>
      <c r="U329" s="172"/>
      <c r="X329" s="699"/>
      <c r="Y329" s="699"/>
      <c r="AA329" s="699"/>
      <c r="AB329" s="699"/>
      <c r="AC329" s="699"/>
      <c r="AD329" s="699"/>
      <c r="AF329" s="699"/>
      <c r="AG329" s="699"/>
      <c r="AH329" s="699"/>
      <c r="AI329" s="699"/>
    </row>
    <row r="330" spans="2:35" ht="21" customHeight="1" x14ac:dyDescent="0.15">
      <c r="B330" s="699"/>
      <c r="C330" s="699"/>
      <c r="G330" s="699"/>
      <c r="H330" s="699"/>
      <c r="I330" s="699"/>
      <c r="J330" s="699"/>
      <c r="K330" s="699"/>
      <c r="L330" s="699"/>
      <c r="R330" s="699"/>
      <c r="S330" s="699"/>
      <c r="U330" s="172"/>
      <c r="X330" s="699"/>
      <c r="Y330" s="699"/>
      <c r="AA330" s="699"/>
      <c r="AB330" s="699"/>
      <c r="AC330" s="699"/>
      <c r="AD330" s="699"/>
      <c r="AF330" s="699"/>
      <c r="AG330" s="699"/>
      <c r="AH330" s="699"/>
      <c r="AI330" s="699"/>
    </row>
    <row r="331" spans="2:35" ht="21" customHeight="1" x14ac:dyDescent="0.15">
      <c r="B331" s="699"/>
      <c r="C331" s="699"/>
      <c r="G331" s="699"/>
      <c r="H331" s="699"/>
      <c r="I331" s="699"/>
      <c r="J331" s="699"/>
      <c r="K331" s="699"/>
      <c r="L331" s="699"/>
      <c r="R331" s="699"/>
      <c r="S331" s="699"/>
      <c r="U331" s="172"/>
      <c r="X331" s="699"/>
      <c r="Y331" s="699"/>
      <c r="AA331" s="699"/>
      <c r="AB331" s="699"/>
      <c r="AC331" s="699"/>
      <c r="AD331" s="699"/>
      <c r="AF331" s="699"/>
      <c r="AG331" s="699"/>
      <c r="AH331" s="699"/>
      <c r="AI331" s="699"/>
    </row>
    <row r="332" spans="2:35" ht="21" customHeight="1" x14ac:dyDescent="0.15">
      <c r="B332" s="699"/>
      <c r="C332" s="699"/>
      <c r="G332" s="699"/>
      <c r="H332" s="699"/>
      <c r="I332" s="699"/>
      <c r="J332" s="699"/>
      <c r="K332" s="699"/>
      <c r="L332" s="699"/>
      <c r="R332" s="699"/>
      <c r="S332" s="699"/>
      <c r="U332" s="172"/>
      <c r="X332" s="699"/>
      <c r="Y332" s="699"/>
      <c r="AA332" s="699"/>
      <c r="AB332" s="699"/>
      <c r="AC332" s="699"/>
      <c r="AD332" s="699"/>
      <c r="AF332" s="699"/>
      <c r="AG332" s="699"/>
      <c r="AH332" s="699"/>
      <c r="AI332" s="699"/>
    </row>
    <row r="333" spans="2:35" ht="21" customHeight="1" x14ac:dyDescent="0.15">
      <c r="B333" s="699"/>
      <c r="C333" s="699"/>
      <c r="G333" s="699"/>
      <c r="H333" s="699"/>
      <c r="I333" s="699"/>
      <c r="J333" s="699"/>
      <c r="K333" s="699"/>
      <c r="L333" s="699"/>
      <c r="R333" s="699"/>
      <c r="S333" s="699"/>
      <c r="U333" s="172"/>
      <c r="X333" s="699"/>
      <c r="Y333" s="699"/>
      <c r="AA333" s="699"/>
      <c r="AB333" s="699"/>
      <c r="AC333" s="699"/>
      <c r="AD333" s="699"/>
      <c r="AF333" s="699"/>
      <c r="AG333" s="699"/>
      <c r="AH333" s="699"/>
      <c r="AI333" s="699"/>
    </row>
    <row r="334" spans="2:35" ht="21" customHeight="1" x14ac:dyDescent="0.15">
      <c r="B334" s="699"/>
      <c r="C334" s="699"/>
      <c r="G334" s="699"/>
      <c r="H334" s="699"/>
      <c r="I334" s="699"/>
      <c r="J334" s="699"/>
      <c r="K334" s="699"/>
      <c r="L334" s="699"/>
      <c r="R334" s="699"/>
      <c r="S334" s="699"/>
      <c r="U334" s="172"/>
      <c r="X334" s="699"/>
      <c r="Y334" s="699"/>
      <c r="AA334" s="699"/>
      <c r="AB334" s="699"/>
      <c r="AC334" s="699"/>
      <c r="AD334" s="699"/>
      <c r="AF334" s="699"/>
      <c r="AG334" s="699"/>
      <c r="AH334" s="699"/>
      <c r="AI334" s="699"/>
    </row>
    <row r="335" spans="2:35" ht="21" customHeight="1" x14ac:dyDescent="0.15">
      <c r="B335" s="699"/>
      <c r="C335" s="699"/>
      <c r="G335" s="699"/>
      <c r="H335" s="699"/>
      <c r="I335" s="699"/>
      <c r="J335" s="699"/>
      <c r="K335" s="699"/>
      <c r="L335" s="699"/>
      <c r="R335" s="699"/>
      <c r="S335" s="699"/>
      <c r="U335" s="172"/>
      <c r="X335" s="699"/>
      <c r="Y335" s="699"/>
      <c r="AA335" s="699"/>
      <c r="AB335" s="699"/>
      <c r="AC335" s="699"/>
      <c r="AD335" s="699"/>
      <c r="AF335" s="699"/>
      <c r="AG335" s="699"/>
      <c r="AH335" s="699"/>
      <c r="AI335" s="699"/>
    </row>
    <row r="336" spans="2:35" ht="21" customHeight="1" x14ac:dyDescent="0.15">
      <c r="B336" s="699"/>
      <c r="C336" s="699"/>
      <c r="G336" s="699"/>
      <c r="H336" s="699"/>
      <c r="I336" s="699"/>
      <c r="J336" s="699"/>
      <c r="K336" s="699"/>
      <c r="L336" s="699"/>
      <c r="R336" s="699"/>
      <c r="S336" s="699"/>
      <c r="U336" s="172"/>
      <c r="X336" s="699"/>
      <c r="Y336" s="699"/>
      <c r="AA336" s="699"/>
      <c r="AB336" s="699"/>
      <c r="AC336" s="699"/>
      <c r="AD336" s="699"/>
      <c r="AF336" s="699"/>
      <c r="AG336" s="699"/>
      <c r="AH336" s="699"/>
      <c r="AI336" s="699"/>
    </row>
    <row r="337" spans="2:35" ht="21" customHeight="1" x14ac:dyDescent="0.15">
      <c r="B337" s="699"/>
      <c r="C337" s="699"/>
      <c r="G337" s="699"/>
      <c r="H337" s="699"/>
      <c r="I337" s="699"/>
      <c r="J337" s="699"/>
      <c r="K337" s="699"/>
      <c r="L337" s="699"/>
      <c r="R337" s="699"/>
      <c r="S337" s="699"/>
      <c r="U337" s="172"/>
      <c r="X337" s="699"/>
      <c r="Y337" s="699"/>
      <c r="AA337" s="699"/>
      <c r="AB337" s="699"/>
      <c r="AC337" s="699"/>
      <c r="AD337" s="699"/>
      <c r="AF337" s="699"/>
      <c r="AG337" s="699"/>
      <c r="AH337" s="699"/>
      <c r="AI337" s="699"/>
    </row>
    <row r="338" spans="2:35" ht="21" customHeight="1" x14ac:dyDescent="0.15">
      <c r="B338" s="699"/>
      <c r="C338" s="699"/>
      <c r="G338" s="699"/>
      <c r="H338" s="699"/>
      <c r="I338" s="699"/>
      <c r="J338" s="699"/>
      <c r="K338" s="699"/>
      <c r="L338" s="699"/>
      <c r="R338" s="699"/>
      <c r="S338" s="699"/>
      <c r="U338" s="172"/>
      <c r="X338" s="699"/>
      <c r="Y338" s="699"/>
      <c r="AA338" s="699"/>
      <c r="AB338" s="699"/>
      <c r="AC338" s="699"/>
      <c r="AD338" s="699"/>
      <c r="AF338" s="699"/>
      <c r="AG338" s="699"/>
      <c r="AH338" s="699"/>
      <c r="AI338" s="699"/>
    </row>
    <row r="339" spans="2:35" ht="21" customHeight="1" x14ac:dyDescent="0.15">
      <c r="B339" s="699"/>
      <c r="C339" s="699"/>
      <c r="G339" s="699"/>
      <c r="H339" s="699"/>
      <c r="I339" s="699"/>
      <c r="J339" s="699"/>
      <c r="K339" s="699"/>
      <c r="L339" s="699"/>
      <c r="R339" s="699"/>
      <c r="S339" s="699"/>
      <c r="U339" s="172"/>
      <c r="X339" s="699"/>
      <c r="Y339" s="699"/>
      <c r="AA339" s="699"/>
      <c r="AB339" s="699"/>
      <c r="AC339" s="699"/>
      <c r="AD339" s="699"/>
      <c r="AF339" s="699"/>
      <c r="AG339" s="699"/>
      <c r="AH339" s="699"/>
      <c r="AI339" s="699"/>
    </row>
    <row r="340" spans="2:35" ht="21" customHeight="1" x14ac:dyDescent="0.15">
      <c r="B340" s="699"/>
      <c r="C340" s="699"/>
      <c r="G340" s="699"/>
      <c r="H340" s="699"/>
      <c r="I340" s="699"/>
      <c r="J340" s="699"/>
      <c r="K340" s="699"/>
      <c r="L340" s="699"/>
      <c r="R340" s="699"/>
      <c r="S340" s="699"/>
      <c r="U340" s="172"/>
      <c r="X340" s="699"/>
      <c r="Y340" s="699"/>
      <c r="AA340" s="699"/>
      <c r="AB340" s="699"/>
      <c r="AC340" s="699"/>
      <c r="AD340" s="699"/>
      <c r="AF340" s="699"/>
      <c r="AG340" s="699"/>
      <c r="AH340" s="699"/>
      <c r="AI340" s="699"/>
    </row>
    <row r="341" spans="2:35" ht="21" customHeight="1" x14ac:dyDescent="0.15">
      <c r="B341" s="699"/>
      <c r="C341" s="699"/>
      <c r="G341" s="699"/>
      <c r="H341" s="699"/>
      <c r="I341" s="699"/>
      <c r="J341" s="699"/>
      <c r="K341" s="699"/>
      <c r="L341" s="699"/>
      <c r="R341" s="699"/>
      <c r="S341" s="699"/>
      <c r="U341" s="172"/>
      <c r="X341" s="699"/>
      <c r="Y341" s="699"/>
      <c r="AA341" s="699"/>
      <c r="AB341" s="699"/>
      <c r="AC341" s="699"/>
      <c r="AD341" s="699"/>
      <c r="AF341" s="699"/>
      <c r="AG341" s="699"/>
      <c r="AH341" s="699"/>
      <c r="AI341" s="699"/>
    </row>
    <row r="342" spans="2:35" ht="21" customHeight="1" x14ac:dyDescent="0.15">
      <c r="B342" s="699"/>
      <c r="C342" s="699"/>
      <c r="G342" s="699"/>
      <c r="H342" s="699"/>
      <c r="I342" s="699"/>
      <c r="J342" s="699"/>
      <c r="K342" s="699"/>
      <c r="L342" s="699"/>
      <c r="R342" s="699"/>
      <c r="S342" s="699"/>
      <c r="U342" s="172"/>
      <c r="X342" s="699"/>
      <c r="Y342" s="699"/>
      <c r="AA342" s="699"/>
      <c r="AB342" s="699"/>
      <c r="AC342" s="699"/>
      <c r="AD342" s="699"/>
      <c r="AF342" s="699"/>
      <c r="AG342" s="699"/>
      <c r="AH342" s="699"/>
      <c r="AI342" s="699"/>
    </row>
    <row r="343" spans="2:35" ht="21" customHeight="1" x14ac:dyDescent="0.15">
      <c r="B343" s="699"/>
      <c r="C343" s="699"/>
      <c r="G343" s="699"/>
      <c r="H343" s="699"/>
      <c r="I343" s="699"/>
      <c r="J343" s="699"/>
      <c r="K343" s="699"/>
      <c r="L343" s="699"/>
      <c r="R343" s="699"/>
      <c r="S343" s="699"/>
      <c r="U343" s="172"/>
      <c r="X343" s="699"/>
      <c r="Y343" s="699"/>
      <c r="AA343" s="699"/>
      <c r="AB343" s="699"/>
      <c r="AC343" s="699"/>
      <c r="AD343" s="699"/>
      <c r="AF343" s="699"/>
      <c r="AG343" s="699"/>
      <c r="AH343" s="699"/>
      <c r="AI343" s="699"/>
    </row>
    <row r="344" spans="2:35" ht="21" customHeight="1" x14ac:dyDescent="0.15">
      <c r="B344" s="699"/>
      <c r="C344" s="699"/>
      <c r="G344" s="699"/>
      <c r="H344" s="699"/>
      <c r="I344" s="699"/>
      <c r="J344" s="699"/>
      <c r="K344" s="699"/>
      <c r="L344" s="699"/>
      <c r="R344" s="699"/>
      <c r="S344" s="699"/>
      <c r="U344" s="172"/>
      <c r="X344" s="699"/>
      <c r="Y344" s="699"/>
      <c r="AA344" s="699"/>
      <c r="AB344" s="699"/>
      <c r="AC344" s="699"/>
      <c r="AD344" s="699"/>
      <c r="AF344" s="699"/>
      <c r="AG344" s="699"/>
      <c r="AH344" s="699"/>
      <c r="AI344" s="699"/>
    </row>
    <row r="345" spans="2:35" ht="21" customHeight="1" x14ac:dyDescent="0.15">
      <c r="B345" s="699"/>
      <c r="C345" s="699"/>
      <c r="G345" s="699"/>
      <c r="H345" s="699"/>
      <c r="I345" s="699"/>
      <c r="J345" s="699"/>
      <c r="K345" s="699"/>
      <c r="L345" s="699"/>
      <c r="R345" s="699"/>
      <c r="S345" s="699"/>
      <c r="U345" s="172"/>
      <c r="X345" s="699"/>
      <c r="Y345" s="699"/>
      <c r="AA345" s="699"/>
      <c r="AB345" s="699"/>
      <c r="AC345" s="699"/>
      <c r="AD345" s="699"/>
      <c r="AF345" s="699"/>
      <c r="AG345" s="699"/>
      <c r="AH345" s="699"/>
      <c r="AI345" s="699"/>
    </row>
    <row r="346" spans="2:35" ht="21" customHeight="1" x14ac:dyDescent="0.15">
      <c r="B346" s="699"/>
      <c r="C346" s="699"/>
      <c r="G346" s="699"/>
      <c r="H346" s="699"/>
      <c r="I346" s="699"/>
      <c r="J346" s="699"/>
      <c r="K346" s="699"/>
      <c r="L346" s="699"/>
      <c r="R346" s="699"/>
      <c r="S346" s="699"/>
      <c r="U346" s="172"/>
      <c r="X346" s="699"/>
      <c r="Y346" s="699"/>
      <c r="AA346" s="699"/>
      <c r="AB346" s="699"/>
      <c r="AC346" s="699"/>
      <c r="AD346" s="699"/>
      <c r="AF346" s="699"/>
      <c r="AG346" s="699"/>
      <c r="AH346" s="699"/>
      <c r="AI346" s="699"/>
    </row>
    <row r="347" spans="2:35" ht="21" customHeight="1" x14ac:dyDescent="0.15">
      <c r="B347" s="699"/>
      <c r="C347" s="699"/>
      <c r="G347" s="699"/>
      <c r="H347" s="699"/>
      <c r="I347" s="699"/>
      <c r="J347" s="699"/>
      <c r="K347" s="699"/>
      <c r="L347" s="699"/>
      <c r="R347" s="699"/>
      <c r="S347" s="699"/>
      <c r="U347" s="172"/>
      <c r="X347" s="699"/>
      <c r="Y347" s="699"/>
      <c r="AA347" s="699"/>
      <c r="AB347" s="699"/>
      <c r="AC347" s="699"/>
      <c r="AD347" s="699"/>
      <c r="AF347" s="699"/>
      <c r="AG347" s="699"/>
      <c r="AH347" s="699"/>
      <c r="AI347" s="699"/>
    </row>
    <row r="348" spans="2:35" ht="21" customHeight="1" x14ac:dyDescent="0.15">
      <c r="B348" s="699"/>
      <c r="C348" s="699"/>
      <c r="G348" s="699"/>
      <c r="H348" s="699"/>
      <c r="I348" s="699"/>
      <c r="J348" s="699"/>
      <c r="K348" s="699"/>
      <c r="L348" s="699"/>
      <c r="R348" s="699"/>
      <c r="S348" s="699"/>
      <c r="U348" s="172"/>
      <c r="X348" s="699"/>
      <c r="Y348" s="699"/>
      <c r="AA348" s="699"/>
      <c r="AB348" s="699"/>
      <c r="AC348" s="699"/>
      <c r="AD348" s="699"/>
      <c r="AF348" s="699"/>
      <c r="AG348" s="699"/>
      <c r="AH348" s="699"/>
      <c r="AI348" s="699"/>
    </row>
    <row r="349" spans="2:35" ht="21" customHeight="1" x14ac:dyDescent="0.15">
      <c r="B349" s="699"/>
      <c r="C349" s="699"/>
      <c r="G349" s="699"/>
      <c r="H349" s="699"/>
      <c r="I349" s="699"/>
      <c r="J349" s="699"/>
      <c r="K349" s="699"/>
      <c r="L349" s="699"/>
      <c r="R349" s="699"/>
      <c r="S349" s="699"/>
      <c r="U349" s="172"/>
      <c r="X349" s="699"/>
      <c r="Y349" s="699"/>
      <c r="AA349" s="699"/>
      <c r="AB349" s="699"/>
      <c r="AC349" s="699"/>
      <c r="AD349" s="699"/>
      <c r="AF349" s="699"/>
      <c r="AG349" s="699"/>
      <c r="AH349" s="699"/>
      <c r="AI349" s="699"/>
    </row>
    <row r="350" spans="2:35" ht="21" customHeight="1" x14ac:dyDescent="0.15">
      <c r="B350" s="699"/>
      <c r="C350" s="699"/>
      <c r="G350" s="699"/>
      <c r="H350" s="699"/>
      <c r="I350" s="699"/>
      <c r="J350" s="699"/>
      <c r="K350" s="699"/>
      <c r="L350" s="699"/>
      <c r="R350" s="699"/>
      <c r="S350" s="699"/>
      <c r="U350" s="172"/>
      <c r="X350" s="699"/>
      <c r="Y350" s="699"/>
      <c r="AA350" s="699"/>
      <c r="AB350" s="699"/>
      <c r="AC350" s="699"/>
      <c r="AD350" s="699"/>
      <c r="AF350" s="699"/>
      <c r="AG350" s="699"/>
      <c r="AH350" s="699"/>
      <c r="AI350" s="699"/>
    </row>
    <row r="351" spans="2:35" ht="21" customHeight="1" x14ac:dyDescent="0.15">
      <c r="B351" s="699"/>
      <c r="C351" s="699"/>
      <c r="G351" s="699"/>
      <c r="H351" s="699"/>
      <c r="I351" s="699"/>
      <c r="J351" s="699"/>
      <c r="K351" s="699"/>
      <c r="L351" s="699"/>
      <c r="R351" s="699"/>
      <c r="S351" s="699"/>
      <c r="U351" s="172"/>
      <c r="X351" s="699"/>
      <c r="Y351" s="699"/>
      <c r="AA351" s="699"/>
      <c r="AB351" s="699"/>
      <c r="AC351" s="699"/>
      <c r="AD351" s="699"/>
      <c r="AF351" s="699"/>
      <c r="AG351" s="699"/>
      <c r="AH351" s="699"/>
      <c r="AI351" s="699"/>
    </row>
    <row r="352" spans="2:35" ht="21" customHeight="1" x14ac:dyDescent="0.15">
      <c r="B352" s="699"/>
      <c r="C352" s="699"/>
      <c r="G352" s="699"/>
      <c r="H352" s="699"/>
      <c r="I352" s="699"/>
      <c r="J352" s="699"/>
      <c r="K352" s="699"/>
      <c r="L352" s="699"/>
      <c r="R352" s="699"/>
      <c r="S352" s="699"/>
      <c r="U352" s="172"/>
      <c r="X352" s="699"/>
      <c r="Y352" s="699"/>
      <c r="AA352" s="699"/>
      <c r="AB352" s="699"/>
      <c r="AC352" s="699"/>
      <c r="AD352" s="699"/>
      <c r="AF352" s="699"/>
      <c r="AG352" s="699"/>
      <c r="AH352" s="699"/>
      <c r="AI352" s="699"/>
    </row>
    <row r="353" spans="2:35" ht="21" customHeight="1" x14ac:dyDescent="0.15">
      <c r="B353" s="699"/>
      <c r="C353" s="699"/>
      <c r="G353" s="699"/>
      <c r="H353" s="699"/>
      <c r="I353" s="699"/>
      <c r="J353" s="699"/>
      <c r="K353" s="699"/>
      <c r="L353" s="699"/>
      <c r="R353" s="699"/>
      <c r="S353" s="699"/>
      <c r="U353" s="172"/>
      <c r="X353" s="699"/>
      <c r="Y353" s="699"/>
      <c r="AA353" s="699"/>
      <c r="AB353" s="699"/>
      <c r="AC353" s="699"/>
      <c r="AD353" s="699"/>
      <c r="AF353" s="699"/>
      <c r="AG353" s="699"/>
      <c r="AH353" s="699"/>
      <c r="AI353" s="699"/>
    </row>
    <row r="354" spans="2:35" ht="21" customHeight="1" x14ac:dyDescent="0.15">
      <c r="B354" s="699"/>
      <c r="C354" s="699"/>
      <c r="G354" s="699"/>
      <c r="H354" s="699"/>
      <c r="I354" s="699"/>
      <c r="J354" s="699"/>
      <c r="K354" s="699"/>
      <c r="L354" s="699"/>
      <c r="R354" s="699"/>
      <c r="S354" s="699"/>
      <c r="U354" s="172"/>
      <c r="X354" s="699"/>
      <c r="Y354" s="699"/>
      <c r="AA354" s="699"/>
      <c r="AB354" s="699"/>
      <c r="AC354" s="699"/>
      <c r="AD354" s="699"/>
      <c r="AF354" s="699"/>
      <c r="AG354" s="699"/>
      <c r="AH354" s="699"/>
      <c r="AI354" s="699"/>
    </row>
    <row r="355" spans="2:35" ht="21" customHeight="1" x14ac:dyDescent="0.15">
      <c r="B355" s="699"/>
      <c r="C355" s="699"/>
      <c r="G355" s="699"/>
      <c r="H355" s="699"/>
      <c r="I355" s="699"/>
      <c r="J355" s="699"/>
      <c r="K355" s="699"/>
      <c r="L355" s="699"/>
      <c r="R355" s="699"/>
      <c r="S355" s="699"/>
      <c r="U355" s="172"/>
      <c r="X355" s="699"/>
      <c r="Y355" s="699"/>
      <c r="AA355" s="699"/>
      <c r="AB355" s="699"/>
      <c r="AC355" s="699"/>
      <c r="AD355" s="699"/>
      <c r="AF355" s="699"/>
      <c r="AG355" s="699"/>
      <c r="AH355" s="699"/>
      <c r="AI355" s="699"/>
    </row>
    <row r="356" spans="2:35" ht="21" customHeight="1" x14ac:dyDescent="0.15">
      <c r="B356" s="699"/>
      <c r="C356" s="699"/>
      <c r="G356" s="699"/>
      <c r="H356" s="699"/>
      <c r="I356" s="699"/>
      <c r="J356" s="699"/>
      <c r="K356" s="699"/>
      <c r="L356" s="699"/>
      <c r="R356" s="699"/>
      <c r="S356" s="699"/>
      <c r="U356" s="172"/>
      <c r="X356" s="699"/>
      <c r="Y356" s="699"/>
      <c r="AA356" s="699"/>
      <c r="AB356" s="699"/>
      <c r="AC356" s="699"/>
      <c r="AD356" s="699"/>
      <c r="AF356" s="699"/>
      <c r="AG356" s="699"/>
      <c r="AH356" s="699"/>
      <c r="AI356" s="699"/>
    </row>
    <row r="357" spans="2:35" ht="21" customHeight="1" x14ac:dyDescent="0.15">
      <c r="B357" s="699"/>
      <c r="C357" s="699"/>
      <c r="G357" s="699"/>
      <c r="H357" s="699"/>
      <c r="I357" s="699"/>
      <c r="J357" s="699"/>
      <c r="K357" s="699"/>
      <c r="L357" s="699"/>
      <c r="R357" s="699"/>
      <c r="S357" s="699"/>
      <c r="U357" s="172"/>
      <c r="X357" s="699"/>
      <c r="Y357" s="699"/>
      <c r="AA357" s="699"/>
      <c r="AB357" s="699"/>
      <c r="AC357" s="699"/>
      <c r="AD357" s="699"/>
      <c r="AF357" s="699"/>
      <c r="AG357" s="699"/>
      <c r="AH357" s="699"/>
      <c r="AI357" s="699"/>
    </row>
    <row r="358" spans="2:35" ht="21" customHeight="1" x14ac:dyDescent="0.15">
      <c r="B358" s="699"/>
      <c r="C358" s="699"/>
      <c r="G358" s="699"/>
      <c r="H358" s="699"/>
      <c r="I358" s="699"/>
      <c r="J358" s="699"/>
      <c r="K358" s="699"/>
      <c r="L358" s="699"/>
      <c r="R358" s="699"/>
      <c r="S358" s="699"/>
      <c r="U358" s="172"/>
      <c r="X358" s="699"/>
      <c r="Y358" s="699"/>
      <c r="AA358" s="699"/>
      <c r="AB358" s="699"/>
      <c r="AC358" s="699"/>
      <c r="AD358" s="699"/>
      <c r="AF358" s="699"/>
      <c r="AG358" s="699"/>
      <c r="AH358" s="699"/>
      <c r="AI358" s="699"/>
    </row>
    <row r="359" spans="2:35" ht="21" customHeight="1" x14ac:dyDescent="0.15">
      <c r="B359" s="699"/>
      <c r="C359" s="699"/>
      <c r="G359" s="699"/>
      <c r="H359" s="699"/>
      <c r="I359" s="699"/>
      <c r="J359" s="699"/>
      <c r="K359" s="699"/>
      <c r="L359" s="699"/>
      <c r="R359" s="699"/>
      <c r="S359" s="699"/>
      <c r="U359" s="172"/>
      <c r="X359" s="699"/>
      <c r="Y359" s="699"/>
      <c r="AA359" s="699"/>
      <c r="AB359" s="699"/>
      <c r="AC359" s="699"/>
      <c r="AD359" s="699"/>
      <c r="AF359" s="699"/>
      <c r="AG359" s="699"/>
      <c r="AH359" s="699"/>
      <c r="AI359" s="699"/>
    </row>
    <row r="360" spans="2:35" ht="21" customHeight="1" x14ac:dyDescent="0.15">
      <c r="B360" s="699"/>
      <c r="C360" s="699"/>
      <c r="G360" s="699"/>
      <c r="H360" s="699"/>
      <c r="I360" s="699"/>
      <c r="J360" s="699"/>
      <c r="K360" s="699"/>
      <c r="L360" s="699"/>
      <c r="R360" s="699"/>
      <c r="S360" s="699"/>
      <c r="U360" s="172"/>
      <c r="X360" s="699"/>
      <c r="Y360" s="699"/>
      <c r="AA360" s="699"/>
      <c r="AB360" s="699"/>
      <c r="AC360" s="699"/>
      <c r="AD360" s="699"/>
      <c r="AF360" s="699"/>
      <c r="AG360" s="699"/>
      <c r="AH360" s="699"/>
      <c r="AI360" s="699"/>
    </row>
    <row r="361" spans="2:35" ht="21" customHeight="1" x14ac:dyDescent="0.15">
      <c r="B361" s="699"/>
      <c r="C361" s="699"/>
      <c r="G361" s="699"/>
      <c r="H361" s="699"/>
      <c r="I361" s="699"/>
      <c r="J361" s="699"/>
      <c r="K361" s="699"/>
      <c r="L361" s="699"/>
      <c r="R361" s="699"/>
      <c r="S361" s="699"/>
      <c r="U361" s="172"/>
      <c r="X361" s="699"/>
      <c r="Y361" s="699"/>
      <c r="AA361" s="699"/>
      <c r="AB361" s="699"/>
      <c r="AC361" s="699"/>
      <c r="AD361" s="699"/>
      <c r="AF361" s="699"/>
      <c r="AG361" s="699"/>
      <c r="AH361" s="699"/>
      <c r="AI361" s="699"/>
    </row>
    <row r="362" spans="2:35" ht="21" customHeight="1" x14ac:dyDescent="0.15">
      <c r="B362" s="699"/>
      <c r="C362" s="699"/>
      <c r="G362" s="699"/>
      <c r="H362" s="699"/>
      <c r="I362" s="699"/>
      <c r="J362" s="699"/>
      <c r="K362" s="699"/>
      <c r="L362" s="699"/>
      <c r="R362" s="699"/>
      <c r="S362" s="699"/>
      <c r="U362" s="172"/>
      <c r="X362" s="699"/>
      <c r="Y362" s="699"/>
      <c r="AA362" s="699"/>
      <c r="AB362" s="699"/>
      <c r="AC362" s="699"/>
      <c r="AD362" s="699"/>
      <c r="AF362" s="699"/>
      <c r="AG362" s="699"/>
      <c r="AH362" s="699"/>
      <c r="AI362" s="699"/>
    </row>
    <row r="363" spans="2:35" ht="21" customHeight="1" x14ac:dyDescent="0.15">
      <c r="B363" s="699"/>
      <c r="C363" s="699"/>
      <c r="G363" s="699"/>
      <c r="H363" s="699"/>
      <c r="I363" s="699"/>
      <c r="J363" s="699"/>
      <c r="K363" s="699"/>
      <c r="L363" s="699"/>
      <c r="R363" s="699"/>
      <c r="S363" s="699"/>
      <c r="U363" s="172"/>
      <c r="X363" s="699"/>
      <c r="Y363" s="699"/>
      <c r="AA363" s="699"/>
      <c r="AB363" s="699"/>
      <c r="AC363" s="699"/>
      <c r="AD363" s="699"/>
      <c r="AF363" s="699"/>
      <c r="AG363" s="699"/>
      <c r="AH363" s="699"/>
      <c r="AI363" s="699"/>
    </row>
    <row r="364" spans="2:35" ht="21" customHeight="1" x14ac:dyDescent="0.15">
      <c r="B364" s="699"/>
      <c r="C364" s="699"/>
      <c r="G364" s="699"/>
      <c r="H364" s="699"/>
      <c r="I364" s="699"/>
      <c r="J364" s="699"/>
      <c r="K364" s="699"/>
      <c r="L364" s="699"/>
      <c r="R364" s="699"/>
      <c r="S364" s="699"/>
      <c r="U364" s="172"/>
      <c r="X364" s="699"/>
      <c r="Y364" s="699"/>
      <c r="AA364" s="699"/>
      <c r="AB364" s="699"/>
      <c r="AC364" s="699"/>
      <c r="AD364" s="699"/>
      <c r="AF364" s="699"/>
      <c r="AG364" s="699"/>
      <c r="AH364" s="699"/>
      <c r="AI364" s="699"/>
    </row>
    <row r="365" spans="2:35" ht="21" customHeight="1" x14ac:dyDescent="0.15">
      <c r="B365" s="699"/>
      <c r="C365" s="699"/>
      <c r="G365" s="699"/>
      <c r="H365" s="699"/>
      <c r="I365" s="699"/>
      <c r="J365" s="699"/>
      <c r="K365" s="699"/>
      <c r="L365" s="699"/>
      <c r="R365" s="699"/>
      <c r="S365" s="699"/>
      <c r="U365" s="172"/>
      <c r="X365" s="699"/>
      <c r="Y365" s="699"/>
      <c r="AA365" s="699"/>
      <c r="AB365" s="699"/>
      <c r="AC365" s="699"/>
      <c r="AD365" s="699"/>
      <c r="AF365" s="699"/>
      <c r="AG365" s="699"/>
      <c r="AH365" s="699"/>
      <c r="AI365" s="699"/>
    </row>
    <row r="366" spans="2:35" ht="21" customHeight="1" x14ac:dyDescent="0.15">
      <c r="B366" s="699"/>
      <c r="C366" s="699"/>
      <c r="G366" s="699"/>
      <c r="H366" s="699"/>
      <c r="I366" s="699"/>
      <c r="J366" s="699"/>
      <c r="K366" s="699"/>
      <c r="L366" s="699"/>
      <c r="R366" s="699"/>
      <c r="S366" s="699"/>
      <c r="U366" s="172"/>
      <c r="X366" s="699"/>
      <c r="Y366" s="699"/>
      <c r="AA366" s="699"/>
      <c r="AB366" s="699"/>
      <c r="AC366" s="699"/>
      <c r="AD366" s="699"/>
      <c r="AF366" s="699"/>
      <c r="AG366" s="699"/>
      <c r="AH366" s="699"/>
      <c r="AI366" s="699"/>
    </row>
    <row r="367" spans="2:35" ht="21" customHeight="1" x14ac:dyDescent="0.15">
      <c r="B367" s="699"/>
      <c r="C367" s="699"/>
      <c r="G367" s="699"/>
      <c r="H367" s="699"/>
      <c r="I367" s="699"/>
      <c r="J367" s="699"/>
      <c r="K367" s="699"/>
      <c r="L367" s="699"/>
      <c r="R367" s="699"/>
      <c r="S367" s="699"/>
      <c r="U367" s="172"/>
      <c r="X367" s="699"/>
      <c r="Y367" s="699"/>
      <c r="AA367" s="699"/>
      <c r="AB367" s="699"/>
      <c r="AC367" s="699"/>
      <c r="AD367" s="699"/>
      <c r="AF367" s="699"/>
      <c r="AG367" s="699"/>
      <c r="AH367" s="699"/>
      <c r="AI367" s="699"/>
    </row>
  </sheetData>
  <autoFilter ref="A1:AK368"/>
  <sortState ref="D8:AA512">
    <sortCondition ref="J8:J512"/>
    <sortCondition ref="L8:L512"/>
    <sortCondition ref="D8:D512"/>
    <sortCondition ref="F8:F512"/>
  </sortState>
  <mergeCells count="15">
    <mergeCell ref="B2:S2"/>
    <mergeCell ref="Z5:AD5"/>
    <mergeCell ref="AE5:AI5"/>
    <mergeCell ref="T5:T6"/>
    <mergeCell ref="B5:B7"/>
    <mergeCell ref="M6:M7"/>
    <mergeCell ref="N6:N7"/>
    <mergeCell ref="G5:G7"/>
    <mergeCell ref="S5:S7"/>
    <mergeCell ref="R5:R7"/>
    <mergeCell ref="H6:H7"/>
    <mergeCell ref="C5:D7"/>
    <mergeCell ref="E5:F7"/>
    <mergeCell ref="O6:O7"/>
    <mergeCell ref="P6:P7"/>
  </mergeCells>
  <phoneticPr fontId="1" type="noConversion"/>
  <printOptions horizontalCentered="1"/>
  <pageMargins left="0.39370078740157483" right="0.39370078740157483" top="0.70866141732283472" bottom="0.59055118110236227" header="0.51181102362204722" footer="0.51181102362204722"/>
  <pageSetup paperSize="9" scale="9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</sheetPr>
  <dimension ref="A1:O126"/>
  <sheetViews>
    <sheetView view="pageBreakPreview" zoomScaleSheetLayoutView="100" workbookViewId="0">
      <selection activeCell="J17" sqref="J17"/>
    </sheetView>
  </sheetViews>
  <sheetFormatPr defaultRowHeight="12" x14ac:dyDescent="0.15"/>
  <cols>
    <col min="1" max="1" width="9.140625" style="3"/>
    <col min="2" max="2" width="2.7109375" style="3" customWidth="1"/>
    <col min="3" max="3" width="21.5703125" style="3" customWidth="1"/>
    <col min="4" max="4" width="2.7109375" style="3" customWidth="1"/>
    <col min="5" max="6" width="21.5703125" style="3" customWidth="1"/>
    <col min="7" max="7" width="0" style="3" hidden="1" customWidth="1"/>
    <col min="8" max="8" width="15.140625" style="3" customWidth="1"/>
    <col min="9" max="12" width="9.140625" style="3"/>
    <col min="13" max="13" width="21.5703125" style="3" customWidth="1"/>
    <col min="14" max="15" width="21.42578125" style="3" customWidth="1"/>
    <col min="16" max="16384" width="9.140625" style="3"/>
  </cols>
  <sheetData>
    <row r="1" spans="1:15" ht="41.25" customHeight="1" x14ac:dyDescent="0.15">
      <c r="A1" s="664" t="s">
        <v>1073</v>
      </c>
      <c r="B1" s="663"/>
      <c r="C1" s="663"/>
      <c r="D1" s="662"/>
      <c r="E1" s="662"/>
      <c r="F1" s="662"/>
      <c r="G1" s="663"/>
      <c r="H1" s="662"/>
      <c r="I1" s="224"/>
      <c r="J1" s="224"/>
      <c r="K1" s="224"/>
      <c r="L1" s="224"/>
      <c r="M1" s="662"/>
      <c r="N1" s="224"/>
      <c r="O1" s="224"/>
    </row>
    <row r="2" spans="1:15" ht="20.100000000000001" customHeight="1" x14ac:dyDescent="0.15">
      <c r="A2" s="225" t="s">
        <v>641</v>
      </c>
      <c r="B2" s="222"/>
      <c r="C2" s="223"/>
      <c r="D2" s="226"/>
      <c r="E2" s="226"/>
      <c r="F2" s="226"/>
      <c r="G2" s="227"/>
      <c r="H2" s="228"/>
      <c r="I2" s="228"/>
      <c r="J2" s="229">
        <f>단가!T4</f>
        <v>100</v>
      </c>
      <c r="K2" s="228"/>
      <c r="L2" s="226"/>
      <c r="M2" s="226"/>
      <c r="N2" s="226"/>
      <c r="O2" s="226"/>
    </row>
    <row r="3" spans="1:15" ht="39" customHeight="1" x14ac:dyDescent="0.15">
      <c r="A3" s="230" t="s">
        <v>242</v>
      </c>
      <c r="B3" s="231"/>
      <c r="C3" s="232" t="s">
        <v>243</v>
      </c>
      <c r="D3" s="233"/>
      <c r="E3" s="234" t="s">
        <v>1112</v>
      </c>
      <c r="F3" s="230" t="s">
        <v>1487</v>
      </c>
      <c r="G3" s="230" t="s">
        <v>242</v>
      </c>
      <c r="H3" s="230" t="s">
        <v>963</v>
      </c>
      <c r="I3" s="235"/>
      <c r="J3" s="235"/>
      <c r="K3" s="235"/>
      <c r="L3" s="235"/>
      <c r="M3" s="234" t="s">
        <v>962</v>
      </c>
      <c r="N3" s="234" t="s">
        <v>642</v>
      </c>
      <c r="O3" s="234" t="s">
        <v>520</v>
      </c>
    </row>
    <row r="4" spans="1:15" ht="15" customHeight="1" x14ac:dyDescent="0.15">
      <c r="A4" s="236">
        <v>1001</v>
      </c>
      <c r="B4" s="237"/>
      <c r="C4" s="238" t="s">
        <v>244</v>
      </c>
      <c r="D4" s="237"/>
      <c r="E4" s="239">
        <v>132631</v>
      </c>
      <c r="F4" s="240">
        <f t="shared" ref="F4:F67" si="0">TRUNC(E4*$J$2%)</f>
        <v>132631</v>
      </c>
      <c r="G4" s="236">
        <v>1001</v>
      </c>
      <c r="H4" s="241"/>
      <c r="I4" s="224"/>
      <c r="J4" s="224"/>
      <c r="K4" s="224"/>
      <c r="L4" s="224"/>
      <c r="M4" s="239">
        <v>124304</v>
      </c>
      <c r="N4" s="239">
        <v>117612</v>
      </c>
      <c r="O4" s="239">
        <v>111998</v>
      </c>
    </row>
    <row r="5" spans="1:15" ht="15" customHeight="1" x14ac:dyDescent="0.15">
      <c r="A5" s="236">
        <v>1002</v>
      </c>
      <c r="B5" s="237"/>
      <c r="C5" s="238" t="s">
        <v>245</v>
      </c>
      <c r="D5" s="237"/>
      <c r="E5" s="239">
        <v>106846</v>
      </c>
      <c r="F5" s="240">
        <f t="shared" si="0"/>
        <v>106846</v>
      </c>
      <c r="G5" s="236">
        <v>1002</v>
      </c>
      <c r="H5" s="241"/>
      <c r="I5" s="224"/>
      <c r="J5" s="224"/>
      <c r="K5" s="224"/>
      <c r="L5" s="224"/>
      <c r="M5" s="239">
        <v>99882</v>
      </c>
      <c r="N5" s="239">
        <v>94338</v>
      </c>
      <c r="O5" s="239">
        <v>89566</v>
      </c>
    </row>
    <row r="6" spans="1:15" ht="15" customHeight="1" x14ac:dyDescent="0.15">
      <c r="A6" s="236">
        <v>1003</v>
      </c>
      <c r="B6" s="237"/>
      <c r="C6" s="238" t="s">
        <v>246</v>
      </c>
      <c r="D6" s="237"/>
      <c r="E6" s="239">
        <v>127391</v>
      </c>
      <c r="F6" s="240">
        <f t="shared" si="0"/>
        <v>127391</v>
      </c>
      <c r="G6" s="236">
        <v>1003</v>
      </c>
      <c r="H6" s="241"/>
      <c r="I6" s="224"/>
      <c r="J6" s="224"/>
      <c r="K6" s="224"/>
      <c r="L6" s="224"/>
      <c r="M6" s="239">
        <v>120716</v>
      </c>
      <c r="N6" s="239">
        <v>115272</v>
      </c>
      <c r="O6" s="239">
        <v>111771</v>
      </c>
    </row>
    <row r="7" spans="1:15" ht="15" customHeight="1" x14ac:dyDescent="0.15">
      <c r="A7" s="236">
        <v>1004</v>
      </c>
      <c r="B7" s="237"/>
      <c r="C7" s="238" t="s">
        <v>247</v>
      </c>
      <c r="D7" s="237"/>
      <c r="E7" s="239">
        <v>116344</v>
      </c>
      <c r="F7" s="240">
        <f t="shared" si="0"/>
        <v>116344</v>
      </c>
      <c r="G7" s="236">
        <v>1004</v>
      </c>
      <c r="H7" s="241"/>
      <c r="I7" s="224"/>
      <c r="J7" s="224"/>
      <c r="K7" s="224"/>
      <c r="L7" s="224"/>
      <c r="M7" s="239">
        <v>110194</v>
      </c>
      <c r="N7" s="239">
        <v>105790</v>
      </c>
      <c r="O7" s="239">
        <v>102144</v>
      </c>
    </row>
    <row r="8" spans="1:15" ht="15" customHeight="1" x14ac:dyDescent="0.15">
      <c r="A8" s="236">
        <v>1005</v>
      </c>
      <c r="B8" s="237"/>
      <c r="C8" s="238" t="s">
        <v>248</v>
      </c>
      <c r="D8" s="237"/>
      <c r="E8" s="239">
        <v>138832</v>
      </c>
      <c r="F8" s="240">
        <f t="shared" si="0"/>
        <v>138832</v>
      </c>
      <c r="G8" s="236">
        <v>1005</v>
      </c>
      <c r="H8" s="241"/>
      <c r="I8" s="224"/>
      <c r="J8" s="224"/>
      <c r="K8" s="224"/>
      <c r="L8" s="224"/>
      <c r="M8" s="239">
        <v>128795</v>
      </c>
      <c r="N8" s="239">
        <v>122341</v>
      </c>
      <c r="O8" s="239">
        <v>117921</v>
      </c>
    </row>
    <row r="9" spans="1:15" ht="15" customHeight="1" x14ac:dyDescent="0.15">
      <c r="A9" s="236">
        <v>1006</v>
      </c>
      <c r="B9" s="237"/>
      <c r="C9" s="238" t="s">
        <v>249</v>
      </c>
      <c r="D9" s="237"/>
      <c r="E9" s="239">
        <v>187771</v>
      </c>
      <c r="F9" s="240">
        <f t="shared" si="0"/>
        <v>187771</v>
      </c>
      <c r="G9" s="236">
        <v>1006</v>
      </c>
      <c r="H9" s="241"/>
      <c r="I9" s="224"/>
      <c r="J9" s="224"/>
      <c r="K9" s="224"/>
      <c r="L9" s="224"/>
      <c r="M9" s="239">
        <v>175367</v>
      </c>
      <c r="N9" s="239">
        <v>167860</v>
      </c>
      <c r="O9" s="239">
        <v>161990</v>
      </c>
    </row>
    <row r="10" spans="1:15" ht="15" customHeight="1" x14ac:dyDescent="0.15">
      <c r="A10" s="236">
        <v>1007</v>
      </c>
      <c r="B10" s="237"/>
      <c r="C10" s="238" t="s">
        <v>250</v>
      </c>
      <c r="D10" s="237"/>
      <c r="E10" s="239">
        <v>179290</v>
      </c>
      <c r="F10" s="240">
        <f t="shared" si="0"/>
        <v>179290</v>
      </c>
      <c r="G10" s="236">
        <v>1007</v>
      </c>
      <c r="H10" s="241"/>
      <c r="I10" s="224"/>
      <c r="J10" s="224"/>
      <c r="K10" s="224"/>
      <c r="L10" s="224"/>
      <c r="M10" s="239">
        <v>168448</v>
      </c>
      <c r="N10" s="239">
        <v>160431</v>
      </c>
      <c r="O10" s="239">
        <v>152831</v>
      </c>
    </row>
    <row r="11" spans="1:15" ht="15" customHeight="1" x14ac:dyDescent="0.15">
      <c r="A11" s="236">
        <v>1008</v>
      </c>
      <c r="B11" s="237"/>
      <c r="C11" s="238" t="s">
        <v>251</v>
      </c>
      <c r="D11" s="237"/>
      <c r="E11" s="239">
        <v>179665</v>
      </c>
      <c r="F11" s="240">
        <f t="shared" si="0"/>
        <v>179665</v>
      </c>
      <c r="G11" s="236">
        <v>1008</v>
      </c>
      <c r="H11" s="241"/>
      <c r="I11" s="224"/>
      <c r="J11" s="224"/>
      <c r="K11" s="224"/>
      <c r="L11" s="224"/>
      <c r="M11" s="239">
        <v>164864</v>
      </c>
      <c r="N11" s="239">
        <v>154424</v>
      </c>
      <c r="O11" s="239">
        <v>148057</v>
      </c>
    </row>
    <row r="12" spans="1:15" ht="15" customHeight="1" x14ac:dyDescent="0.15">
      <c r="A12" s="236">
        <v>1009</v>
      </c>
      <c r="B12" s="237"/>
      <c r="C12" s="238" t="s">
        <v>252</v>
      </c>
      <c r="D12" s="237"/>
      <c r="E12" s="239">
        <v>162422</v>
      </c>
      <c r="F12" s="240">
        <f t="shared" si="0"/>
        <v>162422</v>
      </c>
      <c r="G12" s="236">
        <v>1009</v>
      </c>
      <c r="H12" s="241"/>
      <c r="I12" s="224"/>
      <c r="J12" s="224"/>
      <c r="K12" s="224"/>
      <c r="L12" s="224"/>
      <c r="M12" s="239">
        <v>151564</v>
      </c>
      <c r="N12" s="239">
        <v>146509</v>
      </c>
      <c r="O12" s="239">
        <v>138413</v>
      </c>
    </row>
    <row r="13" spans="1:15" ht="15" customHeight="1" x14ac:dyDescent="0.15">
      <c r="A13" s="236">
        <v>1010</v>
      </c>
      <c r="B13" s="237"/>
      <c r="C13" s="238" t="s">
        <v>253</v>
      </c>
      <c r="D13" s="237"/>
      <c r="E13" s="239">
        <v>148955</v>
      </c>
      <c r="F13" s="240">
        <f t="shared" si="0"/>
        <v>148955</v>
      </c>
      <c r="G13" s="236">
        <v>1010</v>
      </c>
      <c r="H13" s="241"/>
      <c r="I13" s="224"/>
      <c r="J13" s="224"/>
      <c r="K13" s="224"/>
      <c r="L13" s="224"/>
      <c r="M13" s="239">
        <v>140589</v>
      </c>
      <c r="N13" s="239">
        <v>131821</v>
      </c>
      <c r="O13" s="239">
        <v>128022</v>
      </c>
    </row>
    <row r="14" spans="1:15" ht="15" customHeight="1" x14ac:dyDescent="0.15">
      <c r="A14" s="236">
        <v>1011</v>
      </c>
      <c r="B14" s="237"/>
      <c r="C14" s="238" t="s">
        <v>254</v>
      </c>
      <c r="D14" s="237"/>
      <c r="E14" s="239">
        <v>163899</v>
      </c>
      <c r="F14" s="240">
        <f t="shared" si="0"/>
        <v>163899</v>
      </c>
      <c r="G14" s="236">
        <v>1011</v>
      </c>
      <c r="H14" s="241"/>
      <c r="I14" s="224"/>
      <c r="J14" s="224"/>
      <c r="K14" s="224"/>
      <c r="L14" s="224"/>
      <c r="M14" s="239">
        <v>152524</v>
      </c>
      <c r="N14" s="239">
        <v>143120</v>
      </c>
      <c r="O14" s="239">
        <v>138516</v>
      </c>
    </row>
    <row r="15" spans="1:15" ht="15" customHeight="1" x14ac:dyDescent="0.15">
      <c r="A15" s="236">
        <v>1012</v>
      </c>
      <c r="B15" s="237"/>
      <c r="C15" s="238" t="s">
        <v>374</v>
      </c>
      <c r="D15" s="237"/>
      <c r="E15" s="239">
        <v>163001</v>
      </c>
      <c r="F15" s="240">
        <f t="shared" si="0"/>
        <v>163001</v>
      </c>
      <c r="G15" s="236">
        <v>1012</v>
      </c>
      <c r="H15" s="241"/>
      <c r="I15" s="224"/>
      <c r="J15" s="224"/>
      <c r="K15" s="224"/>
      <c r="L15" s="224"/>
      <c r="M15" s="239">
        <v>153849</v>
      </c>
      <c r="N15" s="239">
        <v>143509</v>
      </c>
      <c r="O15" s="239">
        <v>138252</v>
      </c>
    </row>
    <row r="16" spans="1:15" ht="15" customHeight="1" x14ac:dyDescent="0.15">
      <c r="A16" s="236">
        <v>1013</v>
      </c>
      <c r="B16" s="237"/>
      <c r="C16" s="238" t="s">
        <v>255</v>
      </c>
      <c r="D16" s="237"/>
      <c r="E16" s="239">
        <v>167893</v>
      </c>
      <c r="F16" s="240">
        <f t="shared" si="0"/>
        <v>167893</v>
      </c>
      <c r="G16" s="236">
        <v>1013</v>
      </c>
      <c r="H16" s="241"/>
      <c r="I16" s="224"/>
      <c r="J16" s="224"/>
      <c r="K16" s="224"/>
      <c r="L16" s="224"/>
      <c r="M16" s="239">
        <v>157427</v>
      </c>
      <c r="N16" s="239">
        <v>148586</v>
      </c>
      <c r="O16" s="239">
        <v>142556</v>
      </c>
    </row>
    <row r="17" spans="1:15" ht="15" customHeight="1" x14ac:dyDescent="0.15">
      <c r="A17" s="236">
        <v>1014</v>
      </c>
      <c r="B17" s="237"/>
      <c r="C17" s="238" t="s">
        <v>1113</v>
      </c>
      <c r="D17" s="237"/>
      <c r="E17" s="239">
        <v>136757</v>
      </c>
      <c r="F17" s="240">
        <f t="shared" si="0"/>
        <v>136757</v>
      </c>
      <c r="G17" s="236">
        <v>1014</v>
      </c>
      <c r="H17" s="241"/>
      <c r="I17" s="224"/>
      <c r="J17" s="224"/>
      <c r="K17" s="224"/>
      <c r="L17" s="224"/>
      <c r="M17" s="239">
        <v>127977</v>
      </c>
      <c r="N17" s="239">
        <v>120813</v>
      </c>
      <c r="O17" s="239">
        <v>116234</v>
      </c>
    </row>
    <row r="18" spans="1:15" ht="15" customHeight="1" x14ac:dyDescent="0.15">
      <c r="A18" s="236">
        <v>1015</v>
      </c>
      <c r="B18" s="237"/>
      <c r="C18" s="238" t="s">
        <v>256</v>
      </c>
      <c r="D18" s="237"/>
      <c r="E18" s="239">
        <v>128508</v>
      </c>
      <c r="F18" s="240">
        <f t="shared" si="0"/>
        <v>128508</v>
      </c>
      <c r="G18" s="236">
        <v>1015</v>
      </c>
      <c r="H18" s="241"/>
      <c r="I18" s="224"/>
      <c r="J18" s="224"/>
      <c r="K18" s="224"/>
      <c r="L18" s="224"/>
      <c r="M18" s="239">
        <v>119308</v>
      </c>
      <c r="N18" s="239">
        <v>113289</v>
      </c>
      <c r="O18" s="239">
        <v>106060</v>
      </c>
    </row>
    <row r="19" spans="1:15" ht="15" customHeight="1" x14ac:dyDescent="0.15">
      <c r="A19" s="236">
        <v>1016</v>
      </c>
      <c r="B19" s="237"/>
      <c r="C19" s="238" t="s">
        <v>257</v>
      </c>
      <c r="D19" s="237"/>
      <c r="E19" s="239">
        <v>164637</v>
      </c>
      <c r="F19" s="240">
        <f t="shared" si="0"/>
        <v>164637</v>
      </c>
      <c r="G19" s="236">
        <v>1016</v>
      </c>
      <c r="H19" s="241"/>
      <c r="I19" s="224"/>
      <c r="J19" s="224"/>
      <c r="K19" s="224"/>
      <c r="L19" s="224"/>
      <c r="M19" s="239">
        <v>152163</v>
      </c>
      <c r="N19" s="239">
        <v>147280</v>
      </c>
      <c r="O19" s="239">
        <v>140738</v>
      </c>
    </row>
    <row r="20" spans="1:15" ht="15" customHeight="1" x14ac:dyDescent="0.15">
      <c r="A20" s="236">
        <v>1017</v>
      </c>
      <c r="B20" s="237"/>
      <c r="C20" s="238" t="s">
        <v>258</v>
      </c>
      <c r="D20" s="237"/>
      <c r="E20" s="239">
        <v>145761</v>
      </c>
      <c r="F20" s="240">
        <f t="shared" si="0"/>
        <v>145761</v>
      </c>
      <c r="G20" s="236">
        <v>1017</v>
      </c>
      <c r="H20" s="241"/>
      <c r="I20" s="224"/>
      <c r="J20" s="224"/>
      <c r="K20" s="224"/>
      <c r="L20" s="224"/>
      <c r="M20" s="239">
        <v>135760</v>
      </c>
      <c r="N20" s="239">
        <v>128283</v>
      </c>
      <c r="O20" s="239">
        <v>124273</v>
      </c>
    </row>
    <row r="21" spans="1:15" ht="15" customHeight="1" x14ac:dyDescent="0.15">
      <c r="A21" s="236">
        <v>1018</v>
      </c>
      <c r="B21" s="237"/>
      <c r="C21" s="238" t="s">
        <v>259</v>
      </c>
      <c r="D21" s="237"/>
      <c r="E21" s="239">
        <v>125125</v>
      </c>
      <c r="F21" s="240">
        <f t="shared" si="0"/>
        <v>125125</v>
      </c>
      <c r="G21" s="236">
        <v>1018</v>
      </c>
      <c r="H21" s="241"/>
      <c r="I21" s="224"/>
      <c r="J21" s="224"/>
      <c r="K21" s="224"/>
      <c r="L21" s="224"/>
      <c r="M21" s="239">
        <v>115556</v>
      </c>
      <c r="N21" s="239">
        <v>114608</v>
      </c>
      <c r="O21" s="239">
        <v>113795</v>
      </c>
    </row>
    <row r="22" spans="1:15" ht="15" customHeight="1" x14ac:dyDescent="0.15">
      <c r="A22" s="236">
        <v>1019</v>
      </c>
      <c r="B22" s="237"/>
      <c r="C22" s="238" t="s">
        <v>260</v>
      </c>
      <c r="D22" s="237"/>
      <c r="E22" s="239">
        <v>148118</v>
      </c>
      <c r="F22" s="240">
        <f t="shared" si="0"/>
        <v>148118</v>
      </c>
      <c r="G22" s="236">
        <v>1019</v>
      </c>
      <c r="H22" s="241"/>
      <c r="I22" s="224"/>
      <c r="J22" s="224"/>
      <c r="K22" s="224"/>
      <c r="L22" s="224"/>
      <c r="M22" s="239">
        <v>137978</v>
      </c>
      <c r="N22" s="239">
        <v>131508</v>
      </c>
      <c r="O22" s="239">
        <v>126728</v>
      </c>
    </row>
    <row r="23" spans="1:15" ht="15" customHeight="1" x14ac:dyDescent="0.15">
      <c r="A23" s="236">
        <v>1020</v>
      </c>
      <c r="B23" s="237"/>
      <c r="C23" s="238" t="s">
        <v>261</v>
      </c>
      <c r="D23" s="237"/>
      <c r="E23" s="239">
        <v>242022</v>
      </c>
      <c r="F23" s="240">
        <f t="shared" si="0"/>
        <v>242022</v>
      </c>
      <c r="G23" s="236">
        <v>1020</v>
      </c>
      <c r="H23" s="241"/>
      <c r="I23" s="224"/>
      <c r="J23" s="224"/>
      <c r="K23" s="224"/>
      <c r="L23" s="224"/>
      <c r="M23" s="239">
        <v>220486</v>
      </c>
      <c r="N23" s="239">
        <v>199391</v>
      </c>
      <c r="O23" s="239">
        <v>185057</v>
      </c>
    </row>
    <row r="24" spans="1:15" ht="15" customHeight="1" x14ac:dyDescent="0.15">
      <c r="A24" s="236">
        <v>1021</v>
      </c>
      <c r="B24" s="237"/>
      <c r="C24" s="238" t="s">
        <v>262</v>
      </c>
      <c r="D24" s="237"/>
      <c r="E24" s="239">
        <v>153959</v>
      </c>
      <c r="F24" s="240">
        <f t="shared" si="0"/>
        <v>153959</v>
      </c>
      <c r="G24" s="236">
        <v>1021</v>
      </c>
      <c r="H24" s="241"/>
      <c r="I24" s="224"/>
      <c r="J24" s="224"/>
      <c r="K24" s="224"/>
      <c r="L24" s="224"/>
      <c r="M24" s="239">
        <v>143356</v>
      </c>
      <c r="N24" s="239">
        <v>135009</v>
      </c>
      <c r="O24" s="239">
        <v>126631</v>
      </c>
    </row>
    <row r="25" spans="1:15" ht="15" customHeight="1" x14ac:dyDescent="0.15">
      <c r="A25" s="236">
        <v>1022</v>
      </c>
      <c r="B25" s="237"/>
      <c r="C25" s="238" t="s">
        <v>263</v>
      </c>
      <c r="D25" s="237"/>
      <c r="E25" s="239">
        <v>151518</v>
      </c>
      <c r="F25" s="240">
        <f t="shared" si="0"/>
        <v>151518</v>
      </c>
      <c r="G25" s="236">
        <v>1022</v>
      </c>
      <c r="H25" s="241"/>
      <c r="I25" s="224"/>
      <c r="J25" s="224"/>
      <c r="K25" s="224"/>
      <c r="L25" s="224"/>
      <c r="M25" s="239">
        <v>141250</v>
      </c>
      <c r="N25" s="239">
        <v>134289</v>
      </c>
      <c r="O25" s="239">
        <v>129962</v>
      </c>
    </row>
    <row r="26" spans="1:15" ht="15" customHeight="1" x14ac:dyDescent="0.15">
      <c r="A26" s="236">
        <v>1023</v>
      </c>
      <c r="B26" s="237"/>
      <c r="C26" s="238" t="s">
        <v>264</v>
      </c>
      <c r="D26" s="237"/>
      <c r="E26" s="239">
        <v>169062</v>
      </c>
      <c r="F26" s="240">
        <f t="shared" si="0"/>
        <v>169062</v>
      </c>
      <c r="G26" s="236">
        <v>1023</v>
      </c>
      <c r="H26" s="241"/>
      <c r="I26" s="224"/>
      <c r="J26" s="224"/>
      <c r="K26" s="224"/>
      <c r="L26" s="224"/>
      <c r="M26" s="239">
        <v>158297</v>
      </c>
      <c r="N26" s="239">
        <v>148851</v>
      </c>
      <c r="O26" s="239">
        <v>142205</v>
      </c>
    </row>
    <row r="27" spans="1:15" ht="15" customHeight="1" x14ac:dyDescent="0.15">
      <c r="A27" s="236">
        <v>1024</v>
      </c>
      <c r="B27" s="237"/>
      <c r="C27" s="238" t="s">
        <v>1114</v>
      </c>
      <c r="D27" s="237"/>
      <c r="E27" s="239">
        <v>157823</v>
      </c>
      <c r="F27" s="240">
        <f t="shared" si="0"/>
        <v>157823</v>
      </c>
      <c r="G27" s="236">
        <v>1024</v>
      </c>
      <c r="H27" s="241"/>
      <c r="I27" s="224"/>
      <c r="J27" s="224"/>
      <c r="K27" s="224"/>
      <c r="L27" s="224"/>
      <c r="M27" s="239">
        <v>147229</v>
      </c>
      <c r="N27" s="239">
        <v>139607</v>
      </c>
      <c r="O27" s="239">
        <v>133792</v>
      </c>
    </row>
    <row r="28" spans="1:15" ht="15" customHeight="1" x14ac:dyDescent="0.15">
      <c r="A28" s="236">
        <v>1025</v>
      </c>
      <c r="B28" s="237"/>
      <c r="C28" s="238" t="s">
        <v>265</v>
      </c>
      <c r="D28" s="237"/>
      <c r="E28" s="239">
        <v>148516</v>
      </c>
      <c r="F28" s="240">
        <f t="shared" si="0"/>
        <v>148516</v>
      </c>
      <c r="G28" s="236">
        <v>1025</v>
      </c>
      <c r="H28" s="241"/>
      <c r="I28" s="224"/>
      <c r="J28" s="224"/>
      <c r="K28" s="224"/>
      <c r="L28" s="224"/>
      <c r="M28" s="239">
        <v>139664</v>
      </c>
      <c r="N28" s="239">
        <v>133910</v>
      </c>
      <c r="O28" s="239">
        <v>129263</v>
      </c>
    </row>
    <row r="29" spans="1:15" ht="15" customHeight="1" x14ac:dyDescent="0.15">
      <c r="A29" s="236">
        <v>1026</v>
      </c>
      <c r="B29" s="237"/>
      <c r="C29" s="238" t="s">
        <v>266</v>
      </c>
      <c r="D29" s="237"/>
      <c r="E29" s="239">
        <v>126051</v>
      </c>
      <c r="F29" s="240">
        <f t="shared" si="0"/>
        <v>126051</v>
      </c>
      <c r="G29" s="236">
        <v>1026</v>
      </c>
      <c r="H29" s="241"/>
      <c r="I29" s="224"/>
      <c r="J29" s="224"/>
      <c r="K29" s="224"/>
      <c r="L29" s="224"/>
      <c r="M29" s="239">
        <v>116958</v>
      </c>
      <c r="N29" s="239">
        <v>110271</v>
      </c>
      <c r="O29" s="239">
        <v>105008</v>
      </c>
    </row>
    <row r="30" spans="1:15" ht="15" customHeight="1" x14ac:dyDescent="0.15">
      <c r="A30" s="236">
        <v>1027</v>
      </c>
      <c r="B30" s="237"/>
      <c r="C30" s="238" t="s">
        <v>267</v>
      </c>
      <c r="D30" s="237"/>
      <c r="E30" s="239">
        <v>169508</v>
      </c>
      <c r="F30" s="240">
        <f t="shared" si="0"/>
        <v>169508</v>
      </c>
      <c r="G30" s="236">
        <v>1027</v>
      </c>
      <c r="H30" s="241"/>
      <c r="I30" s="224"/>
      <c r="J30" s="224"/>
      <c r="K30" s="224"/>
      <c r="L30" s="224"/>
      <c r="M30" s="239">
        <v>157810</v>
      </c>
      <c r="N30" s="239">
        <v>149091</v>
      </c>
      <c r="O30" s="239">
        <v>141989</v>
      </c>
    </row>
    <row r="31" spans="1:15" ht="15" customHeight="1" x14ac:dyDescent="0.15">
      <c r="A31" s="236">
        <v>1028</v>
      </c>
      <c r="B31" s="237"/>
      <c r="C31" s="238" t="s">
        <v>268</v>
      </c>
      <c r="D31" s="237"/>
      <c r="E31" s="239">
        <v>164998</v>
      </c>
      <c r="F31" s="240">
        <f t="shared" si="0"/>
        <v>164998</v>
      </c>
      <c r="G31" s="236">
        <v>1028</v>
      </c>
      <c r="H31" s="241"/>
      <c r="I31" s="224"/>
      <c r="J31" s="224"/>
      <c r="K31" s="224"/>
      <c r="L31" s="224"/>
      <c r="M31" s="239">
        <v>153735</v>
      </c>
      <c r="N31" s="239">
        <v>145574</v>
      </c>
      <c r="O31" s="239">
        <v>141147</v>
      </c>
    </row>
    <row r="32" spans="1:15" ht="15" customHeight="1" x14ac:dyDescent="0.15">
      <c r="A32" s="236">
        <v>1029</v>
      </c>
      <c r="B32" s="237"/>
      <c r="C32" s="238" t="s">
        <v>269</v>
      </c>
      <c r="D32" s="237"/>
      <c r="E32" s="239">
        <v>148659</v>
      </c>
      <c r="F32" s="240">
        <f t="shared" si="0"/>
        <v>148659</v>
      </c>
      <c r="G32" s="236">
        <v>1029</v>
      </c>
      <c r="H32" s="241"/>
      <c r="I32" s="224"/>
      <c r="J32" s="224"/>
      <c r="K32" s="224"/>
      <c r="L32" s="224"/>
      <c r="M32" s="239">
        <v>138445</v>
      </c>
      <c r="N32" s="239">
        <v>132552</v>
      </c>
      <c r="O32" s="239">
        <v>127681</v>
      </c>
    </row>
    <row r="33" spans="1:15" ht="15" customHeight="1" x14ac:dyDescent="0.15">
      <c r="A33" s="236">
        <v>1030</v>
      </c>
      <c r="B33" s="237"/>
      <c r="C33" s="238" t="s">
        <v>270</v>
      </c>
      <c r="D33" s="237"/>
      <c r="E33" s="239">
        <v>160195</v>
      </c>
      <c r="F33" s="240">
        <f t="shared" si="0"/>
        <v>160195</v>
      </c>
      <c r="G33" s="236">
        <v>1030</v>
      </c>
      <c r="H33" s="241"/>
      <c r="I33" s="224"/>
      <c r="J33" s="224"/>
      <c r="K33" s="224"/>
      <c r="L33" s="224"/>
      <c r="M33" s="239">
        <v>150050</v>
      </c>
      <c r="N33" s="239">
        <v>144150</v>
      </c>
      <c r="O33" s="239">
        <v>137611</v>
      </c>
    </row>
    <row r="34" spans="1:15" ht="15" customHeight="1" x14ac:dyDescent="0.15">
      <c r="A34" s="236">
        <v>1031</v>
      </c>
      <c r="B34" s="237"/>
      <c r="C34" s="238" t="s">
        <v>271</v>
      </c>
      <c r="D34" s="237"/>
      <c r="E34" s="239">
        <v>138737</v>
      </c>
      <c r="F34" s="240">
        <f t="shared" si="0"/>
        <v>138737</v>
      </c>
      <c r="G34" s="236">
        <v>1031</v>
      </c>
      <c r="H34" s="241"/>
      <c r="I34" s="224"/>
      <c r="J34" s="224"/>
      <c r="K34" s="224"/>
      <c r="L34" s="224"/>
      <c r="M34" s="239">
        <v>129887</v>
      </c>
      <c r="N34" s="239">
        <v>122699</v>
      </c>
      <c r="O34" s="239">
        <v>116463</v>
      </c>
    </row>
    <row r="35" spans="1:15" ht="15" customHeight="1" x14ac:dyDescent="0.15">
      <c r="A35" s="236" t="s">
        <v>272</v>
      </c>
      <c r="B35" s="237"/>
      <c r="C35" s="238" t="s">
        <v>273</v>
      </c>
      <c r="D35" s="237"/>
      <c r="E35" s="239">
        <v>135816</v>
      </c>
      <c r="F35" s="240">
        <f t="shared" si="0"/>
        <v>135816</v>
      </c>
      <c r="G35" s="236">
        <v>1032</v>
      </c>
      <c r="H35" s="241"/>
      <c r="I35" s="224"/>
      <c r="J35" s="224"/>
      <c r="K35" s="224"/>
      <c r="L35" s="224"/>
      <c r="M35" s="239">
        <v>126629</v>
      </c>
      <c r="N35" s="239">
        <v>121211</v>
      </c>
      <c r="O35" s="239">
        <v>116489</v>
      </c>
    </row>
    <row r="36" spans="1:15" ht="15" customHeight="1" x14ac:dyDescent="0.15">
      <c r="A36" s="236">
        <v>1033</v>
      </c>
      <c r="B36" s="237"/>
      <c r="C36" s="238" t="s">
        <v>274</v>
      </c>
      <c r="D36" s="237"/>
      <c r="E36" s="239">
        <v>168680</v>
      </c>
      <c r="F36" s="240">
        <f t="shared" si="0"/>
        <v>168680</v>
      </c>
      <c r="G36" s="236">
        <v>1033</v>
      </c>
      <c r="H36" s="241"/>
      <c r="I36" s="224"/>
      <c r="J36" s="224"/>
      <c r="K36" s="224"/>
      <c r="L36" s="224"/>
      <c r="M36" s="239">
        <v>157965</v>
      </c>
      <c r="N36" s="239">
        <v>151583</v>
      </c>
      <c r="O36" s="239">
        <v>143609</v>
      </c>
    </row>
    <row r="37" spans="1:15" ht="15" customHeight="1" x14ac:dyDescent="0.15">
      <c r="A37" s="236">
        <v>1034</v>
      </c>
      <c r="B37" s="237"/>
      <c r="C37" s="238" t="s">
        <v>275</v>
      </c>
      <c r="D37" s="237"/>
      <c r="E37" s="239">
        <v>126210</v>
      </c>
      <c r="F37" s="240">
        <f t="shared" si="0"/>
        <v>126210</v>
      </c>
      <c r="G37" s="236">
        <v>1034</v>
      </c>
      <c r="H37" s="241"/>
      <c r="I37" s="224"/>
      <c r="J37" s="224"/>
      <c r="K37" s="224"/>
      <c r="L37" s="224"/>
      <c r="M37" s="239">
        <v>117880</v>
      </c>
      <c r="N37" s="239">
        <v>114424</v>
      </c>
      <c r="O37" s="239">
        <v>109670</v>
      </c>
    </row>
    <row r="38" spans="1:15" ht="15" customHeight="1" x14ac:dyDescent="0.15">
      <c r="A38" s="236">
        <v>1035</v>
      </c>
      <c r="B38" s="237"/>
      <c r="C38" s="238" t="s">
        <v>276</v>
      </c>
      <c r="D38" s="237"/>
      <c r="E38" s="239">
        <v>146994</v>
      </c>
      <c r="F38" s="240">
        <f t="shared" si="0"/>
        <v>146994</v>
      </c>
      <c r="G38" s="236">
        <v>1035</v>
      </c>
      <c r="H38" s="241"/>
      <c r="I38" s="224"/>
      <c r="J38" s="224"/>
      <c r="K38" s="224"/>
      <c r="L38" s="224"/>
      <c r="M38" s="239">
        <v>137435</v>
      </c>
      <c r="N38" s="239">
        <v>132250</v>
      </c>
      <c r="O38" s="239">
        <v>127665</v>
      </c>
    </row>
    <row r="39" spans="1:15" ht="15" customHeight="1" x14ac:dyDescent="0.15">
      <c r="A39" s="236">
        <v>1036</v>
      </c>
      <c r="B39" s="237"/>
      <c r="C39" s="238" t="s">
        <v>277</v>
      </c>
      <c r="D39" s="237"/>
      <c r="E39" s="239">
        <v>150969</v>
      </c>
      <c r="F39" s="240">
        <f t="shared" si="0"/>
        <v>150969</v>
      </c>
      <c r="G39" s="236">
        <v>1036</v>
      </c>
      <c r="H39" s="241"/>
      <c r="I39" s="224"/>
      <c r="J39" s="224"/>
      <c r="K39" s="224"/>
      <c r="L39" s="224"/>
      <c r="M39" s="239">
        <v>141063</v>
      </c>
      <c r="N39" s="239">
        <v>133189</v>
      </c>
      <c r="O39" s="239">
        <v>127218</v>
      </c>
    </row>
    <row r="40" spans="1:15" ht="15" customHeight="1" x14ac:dyDescent="0.15">
      <c r="A40" s="236" t="s">
        <v>1115</v>
      </c>
      <c r="B40" s="237"/>
      <c r="C40" s="238" t="s">
        <v>278</v>
      </c>
      <c r="D40" s="237"/>
      <c r="E40" s="239">
        <v>153571</v>
      </c>
      <c r="F40" s="240">
        <f t="shared" si="0"/>
        <v>153571</v>
      </c>
      <c r="G40" s="236">
        <v>1037</v>
      </c>
      <c r="H40" s="241"/>
      <c r="I40" s="224"/>
      <c r="J40" s="224"/>
      <c r="K40" s="224"/>
      <c r="L40" s="224"/>
      <c r="M40" s="239">
        <v>139681</v>
      </c>
      <c r="N40" s="239">
        <v>133882</v>
      </c>
      <c r="O40" s="239">
        <v>126094</v>
      </c>
    </row>
    <row r="41" spans="1:15" ht="15" customHeight="1" x14ac:dyDescent="0.15">
      <c r="A41" s="236">
        <v>1038</v>
      </c>
      <c r="B41" s="237"/>
      <c r="C41" s="238" t="s">
        <v>279</v>
      </c>
      <c r="D41" s="237"/>
      <c r="E41" s="239">
        <v>147748</v>
      </c>
      <c r="F41" s="240">
        <f t="shared" si="0"/>
        <v>147748</v>
      </c>
      <c r="G41" s="236">
        <v>1038</v>
      </c>
      <c r="H41" s="241"/>
      <c r="I41" s="224"/>
      <c r="J41" s="224"/>
      <c r="K41" s="224"/>
      <c r="L41" s="224"/>
      <c r="M41" s="239">
        <v>137988</v>
      </c>
      <c r="N41" s="239">
        <v>135114</v>
      </c>
      <c r="O41" s="239">
        <v>128487</v>
      </c>
    </row>
    <row r="42" spans="1:15" ht="15" customHeight="1" x14ac:dyDescent="0.15">
      <c r="A42" s="236">
        <v>1039</v>
      </c>
      <c r="B42" s="237"/>
      <c r="C42" s="238" t="s">
        <v>280</v>
      </c>
      <c r="D42" s="237"/>
      <c r="E42" s="239">
        <v>143420</v>
      </c>
      <c r="F42" s="240">
        <f t="shared" si="0"/>
        <v>143420</v>
      </c>
      <c r="G42" s="236">
        <v>1039</v>
      </c>
      <c r="H42" s="241"/>
      <c r="I42" s="224"/>
      <c r="J42" s="224"/>
      <c r="K42" s="224"/>
      <c r="L42" s="224"/>
      <c r="M42" s="239">
        <v>134427</v>
      </c>
      <c r="N42" s="239">
        <v>125901</v>
      </c>
      <c r="O42" s="239">
        <v>122333</v>
      </c>
    </row>
    <row r="43" spans="1:15" ht="15" customHeight="1" x14ac:dyDescent="0.15">
      <c r="A43" s="236">
        <v>1040</v>
      </c>
      <c r="B43" s="237"/>
      <c r="C43" s="238" t="s">
        <v>281</v>
      </c>
      <c r="D43" s="237"/>
      <c r="E43" s="239">
        <v>158481</v>
      </c>
      <c r="F43" s="240">
        <f t="shared" si="0"/>
        <v>158481</v>
      </c>
      <c r="G43" s="236">
        <v>1040</v>
      </c>
      <c r="H43" s="241"/>
      <c r="I43" s="224"/>
      <c r="J43" s="224"/>
      <c r="K43" s="224"/>
      <c r="L43" s="224"/>
      <c r="M43" s="239">
        <v>143391</v>
      </c>
      <c r="N43" s="239">
        <v>140704</v>
      </c>
      <c r="O43" s="239">
        <v>136044</v>
      </c>
    </row>
    <row r="44" spans="1:15" ht="15" customHeight="1" x14ac:dyDescent="0.15">
      <c r="A44" s="236">
        <v>1041</v>
      </c>
      <c r="B44" s="237"/>
      <c r="C44" s="238" t="s">
        <v>282</v>
      </c>
      <c r="D44" s="237"/>
      <c r="E44" s="239">
        <v>142144</v>
      </c>
      <c r="F44" s="240">
        <f t="shared" si="0"/>
        <v>142144</v>
      </c>
      <c r="G44" s="236">
        <v>1041</v>
      </c>
      <c r="H44" s="241"/>
      <c r="I44" s="224"/>
      <c r="J44" s="224"/>
      <c r="K44" s="224"/>
      <c r="L44" s="224"/>
      <c r="M44" s="239">
        <v>130838</v>
      </c>
      <c r="N44" s="239">
        <v>125520</v>
      </c>
      <c r="O44" s="239">
        <v>118057</v>
      </c>
    </row>
    <row r="45" spans="1:15" ht="15" customHeight="1" x14ac:dyDescent="0.15">
      <c r="A45" s="236">
        <v>1042</v>
      </c>
      <c r="B45" s="237"/>
      <c r="C45" s="238" t="s">
        <v>283</v>
      </c>
      <c r="D45" s="237"/>
      <c r="E45" s="239">
        <v>136613</v>
      </c>
      <c r="F45" s="240">
        <f t="shared" si="0"/>
        <v>136613</v>
      </c>
      <c r="G45" s="236">
        <v>1042</v>
      </c>
      <c r="H45" s="241"/>
      <c r="I45" s="224"/>
      <c r="J45" s="224"/>
      <c r="K45" s="224"/>
      <c r="L45" s="224"/>
      <c r="M45" s="239">
        <v>126225</v>
      </c>
      <c r="N45" s="239">
        <v>121038</v>
      </c>
      <c r="O45" s="239">
        <v>116013</v>
      </c>
    </row>
    <row r="46" spans="1:15" ht="15" customHeight="1" x14ac:dyDescent="0.15">
      <c r="A46" s="236">
        <v>1043</v>
      </c>
      <c r="B46" s="242"/>
      <c r="C46" s="238" t="s">
        <v>1116</v>
      </c>
      <c r="D46" s="243"/>
      <c r="E46" s="239">
        <v>130860</v>
      </c>
      <c r="F46" s="240">
        <f t="shared" si="0"/>
        <v>130860</v>
      </c>
      <c r="G46" s="236">
        <v>1043</v>
      </c>
      <c r="H46" s="241"/>
      <c r="I46" s="224"/>
      <c r="J46" s="224"/>
      <c r="K46" s="224"/>
      <c r="L46" s="224"/>
      <c r="M46" s="239">
        <v>122054</v>
      </c>
      <c r="N46" s="239">
        <v>116121</v>
      </c>
      <c r="O46" s="239">
        <v>112186</v>
      </c>
    </row>
    <row r="47" spans="1:15" ht="15" customHeight="1" x14ac:dyDescent="0.15">
      <c r="A47" s="236">
        <v>1044</v>
      </c>
      <c r="B47" s="237"/>
      <c r="C47" s="238" t="s">
        <v>284</v>
      </c>
      <c r="D47" s="237"/>
      <c r="E47" s="239">
        <v>127821</v>
      </c>
      <c r="F47" s="240">
        <f t="shared" si="0"/>
        <v>127821</v>
      </c>
      <c r="G47" s="236">
        <v>1044</v>
      </c>
      <c r="H47" s="241"/>
      <c r="I47" s="224"/>
      <c r="J47" s="224"/>
      <c r="K47" s="224"/>
      <c r="L47" s="224"/>
      <c r="M47" s="239">
        <v>118712</v>
      </c>
      <c r="N47" s="239">
        <v>112777</v>
      </c>
      <c r="O47" s="239">
        <v>107826</v>
      </c>
    </row>
    <row r="48" spans="1:15" ht="15" customHeight="1" x14ac:dyDescent="0.15">
      <c r="A48" s="236" t="s">
        <v>1117</v>
      </c>
      <c r="B48" s="237"/>
      <c r="C48" s="238" t="s">
        <v>1118</v>
      </c>
      <c r="D48" s="237"/>
      <c r="E48" s="239">
        <v>120074</v>
      </c>
      <c r="F48" s="240">
        <f t="shared" si="0"/>
        <v>120074</v>
      </c>
      <c r="G48" s="236">
        <v>1045</v>
      </c>
      <c r="H48" s="241"/>
      <c r="I48" s="224"/>
      <c r="J48" s="224"/>
      <c r="K48" s="224"/>
      <c r="L48" s="224"/>
      <c r="M48" s="239">
        <v>110197</v>
      </c>
      <c r="N48" s="239">
        <v>104483</v>
      </c>
      <c r="O48" s="239">
        <v>98941</v>
      </c>
    </row>
    <row r="49" spans="1:15" ht="15" customHeight="1" x14ac:dyDescent="0.15">
      <c r="A49" s="236" t="s">
        <v>1119</v>
      </c>
      <c r="B49" s="237"/>
      <c r="C49" s="238" t="s">
        <v>285</v>
      </c>
      <c r="D49" s="237"/>
      <c r="E49" s="239">
        <v>125226</v>
      </c>
      <c r="F49" s="240">
        <f t="shared" si="0"/>
        <v>125226</v>
      </c>
      <c r="G49" s="236">
        <v>1046</v>
      </c>
      <c r="H49" s="241"/>
      <c r="I49" s="224"/>
      <c r="J49" s="224"/>
      <c r="K49" s="224"/>
      <c r="L49" s="224"/>
      <c r="M49" s="239">
        <v>118155</v>
      </c>
      <c r="N49" s="239">
        <v>110698</v>
      </c>
      <c r="O49" s="239">
        <v>106163</v>
      </c>
    </row>
    <row r="50" spans="1:15" ht="15" customHeight="1" x14ac:dyDescent="0.15">
      <c r="A50" s="236">
        <v>1047</v>
      </c>
      <c r="B50" s="237"/>
      <c r="C50" s="238" t="s">
        <v>286</v>
      </c>
      <c r="D50" s="237"/>
      <c r="E50" s="239">
        <v>131364</v>
      </c>
      <c r="F50" s="240">
        <f t="shared" si="0"/>
        <v>131364</v>
      </c>
      <c r="G50" s="236">
        <v>1047</v>
      </c>
      <c r="H50" s="241"/>
      <c r="I50" s="224"/>
      <c r="J50" s="224"/>
      <c r="K50" s="224"/>
      <c r="L50" s="224"/>
      <c r="M50" s="239">
        <v>122763</v>
      </c>
      <c r="N50" s="239">
        <v>113244</v>
      </c>
      <c r="O50" s="239">
        <v>108152</v>
      </c>
    </row>
    <row r="51" spans="1:15" ht="15" customHeight="1" x14ac:dyDescent="0.15">
      <c r="A51" s="236">
        <v>1048</v>
      </c>
      <c r="B51" s="237"/>
      <c r="C51" s="238" t="s">
        <v>587</v>
      </c>
      <c r="D51" s="237"/>
      <c r="E51" s="239">
        <v>154499</v>
      </c>
      <c r="F51" s="240">
        <f t="shared" si="0"/>
        <v>154499</v>
      </c>
      <c r="G51" s="236">
        <v>1048</v>
      </c>
      <c r="H51" s="241"/>
      <c r="I51" s="224"/>
      <c r="J51" s="224"/>
      <c r="K51" s="224"/>
      <c r="L51" s="224"/>
      <c r="M51" s="239">
        <v>143601</v>
      </c>
      <c r="N51" s="239">
        <v>135644</v>
      </c>
      <c r="O51" s="239">
        <v>130411</v>
      </c>
    </row>
    <row r="52" spans="1:15" ht="15" customHeight="1" x14ac:dyDescent="0.15">
      <c r="A52" s="236">
        <v>1049</v>
      </c>
      <c r="B52" s="237"/>
      <c r="C52" s="238" t="s">
        <v>1120</v>
      </c>
      <c r="D52" s="237"/>
      <c r="E52" s="239">
        <v>133521</v>
      </c>
      <c r="F52" s="240">
        <f t="shared" si="0"/>
        <v>133521</v>
      </c>
      <c r="G52" s="236">
        <v>1049</v>
      </c>
      <c r="H52" s="241"/>
      <c r="I52" s="224"/>
      <c r="J52" s="224"/>
      <c r="K52" s="224"/>
      <c r="L52" s="224"/>
      <c r="M52" s="239">
        <v>125031</v>
      </c>
      <c r="N52" s="239">
        <v>122499</v>
      </c>
      <c r="O52" s="239">
        <v>117523</v>
      </c>
    </row>
    <row r="53" spans="1:15" ht="15" customHeight="1" x14ac:dyDescent="0.15">
      <c r="A53" s="236">
        <v>1050</v>
      </c>
      <c r="B53" s="237"/>
      <c r="C53" s="238" t="s">
        <v>585</v>
      </c>
      <c r="D53" s="237"/>
      <c r="E53" s="239">
        <v>110000</v>
      </c>
      <c r="F53" s="240">
        <f t="shared" si="0"/>
        <v>110000</v>
      </c>
      <c r="G53" s="236">
        <v>1050</v>
      </c>
      <c r="H53" s="241"/>
      <c r="I53" s="224"/>
      <c r="J53" s="224"/>
      <c r="K53" s="224"/>
      <c r="L53" s="224"/>
      <c r="M53" s="239">
        <v>101844</v>
      </c>
      <c r="N53" s="239">
        <v>96512</v>
      </c>
      <c r="O53" s="239">
        <v>90909</v>
      </c>
    </row>
    <row r="54" spans="1:15" ht="15" customHeight="1" x14ac:dyDescent="0.15">
      <c r="A54" s="236">
        <v>1051</v>
      </c>
      <c r="B54" s="244"/>
      <c r="C54" s="238" t="s">
        <v>1121</v>
      </c>
      <c r="D54" s="245"/>
      <c r="E54" s="239">
        <v>140008</v>
      </c>
      <c r="F54" s="240">
        <f t="shared" si="0"/>
        <v>140008</v>
      </c>
      <c r="G54" s="236">
        <v>1051</v>
      </c>
      <c r="H54" s="241"/>
      <c r="I54" s="224"/>
      <c r="J54" s="224"/>
      <c r="K54" s="224"/>
      <c r="L54" s="224"/>
      <c r="M54" s="239">
        <v>131319</v>
      </c>
      <c r="N54" s="239">
        <v>124953</v>
      </c>
      <c r="O54" s="239">
        <v>120482</v>
      </c>
    </row>
    <row r="55" spans="1:15" ht="15" customHeight="1" x14ac:dyDescent="0.15">
      <c r="A55" s="236" t="s">
        <v>287</v>
      </c>
      <c r="B55" s="237"/>
      <c r="C55" s="238" t="s">
        <v>288</v>
      </c>
      <c r="D55" s="237"/>
      <c r="E55" s="239">
        <v>136571</v>
      </c>
      <c r="F55" s="240">
        <f t="shared" si="0"/>
        <v>136571</v>
      </c>
      <c r="G55" s="236">
        <v>1052</v>
      </c>
      <c r="H55" s="241"/>
      <c r="I55" s="224"/>
      <c r="J55" s="224"/>
      <c r="K55" s="224"/>
      <c r="L55" s="224"/>
      <c r="M55" s="239">
        <v>0</v>
      </c>
      <c r="N55" s="239" t="s">
        <v>289</v>
      </c>
      <c r="O55" s="239">
        <v>126060</v>
      </c>
    </row>
    <row r="56" spans="1:15" ht="15" customHeight="1" x14ac:dyDescent="0.15">
      <c r="A56" s="236" t="s">
        <v>290</v>
      </c>
      <c r="B56" s="237"/>
      <c r="C56" s="238" t="s">
        <v>291</v>
      </c>
      <c r="D56" s="237"/>
      <c r="E56" s="239">
        <v>129869</v>
      </c>
      <c r="F56" s="240">
        <f t="shared" si="0"/>
        <v>129869</v>
      </c>
      <c r="G56" s="236">
        <v>1053</v>
      </c>
      <c r="H56" s="241"/>
      <c r="I56" s="224"/>
      <c r="J56" s="224"/>
      <c r="K56" s="224"/>
      <c r="L56" s="224"/>
      <c r="M56" s="239">
        <v>0</v>
      </c>
      <c r="N56" s="239" t="s">
        <v>289</v>
      </c>
      <c r="O56" s="239">
        <v>120000</v>
      </c>
    </row>
    <row r="57" spans="1:15" ht="15" customHeight="1" x14ac:dyDescent="0.15">
      <c r="A57" s="236" t="s">
        <v>292</v>
      </c>
      <c r="B57" s="237"/>
      <c r="C57" s="238" t="s">
        <v>293</v>
      </c>
      <c r="D57" s="237"/>
      <c r="E57" s="239" t="s">
        <v>289</v>
      </c>
      <c r="F57" s="240" t="e">
        <f t="shared" si="0"/>
        <v>#VALUE!</v>
      </c>
      <c r="G57" s="236">
        <v>1054</v>
      </c>
      <c r="H57" s="241"/>
      <c r="I57" s="224"/>
      <c r="J57" s="224"/>
      <c r="K57" s="224"/>
      <c r="L57" s="224"/>
      <c r="M57" s="239">
        <v>0</v>
      </c>
      <c r="N57" s="239" t="s">
        <v>289</v>
      </c>
      <c r="O57" s="239">
        <v>106774</v>
      </c>
    </row>
    <row r="58" spans="1:15" ht="15" customHeight="1" x14ac:dyDescent="0.15">
      <c r="A58" s="236" t="s">
        <v>294</v>
      </c>
      <c r="B58" s="237"/>
      <c r="C58" s="238" t="s">
        <v>1122</v>
      </c>
      <c r="D58" s="237"/>
      <c r="E58" s="239">
        <v>114850</v>
      </c>
      <c r="F58" s="240">
        <f t="shared" si="0"/>
        <v>114850</v>
      </c>
      <c r="G58" s="236">
        <v>1055</v>
      </c>
      <c r="H58" s="241"/>
      <c r="I58" s="224"/>
      <c r="J58" s="224"/>
      <c r="K58" s="224"/>
      <c r="L58" s="224"/>
      <c r="M58" s="239">
        <v>0</v>
      </c>
      <c r="N58" s="239">
        <v>108000</v>
      </c>
      <c r="O58" s="239">
        <v>107317</v>
      </c>
    </row>
    <row r="59" spans="1:15" ht="15" customHeight="1" x14ac:dyDescent="0.15">
      <c r="A59" s="236">
        <v>1056</v>
      </c>
      <c r="B59" s="237"/>
      <c r="C59" s="238" t="s">
        <v>295</v>
      </c>
      <c r="D59" s="237"/>
      <c r="E59" s="239">
        <v>234786</v>
      </c>
      <c r="F59" s="240">
        <f t="shared" si="0"/>
        <v>234786</v>
      </c>
      <c r="G59" s="236">
        <v>1056</v>
      </c>
      <c r="H59" s="241"/>
      <c r="I59" s="224"/>
      <c r="J59" s="224"/>
      <c r="K59" s="224"/>
      <c r="L59" s="224"/>
      <c r="M59" s="239">
        <v>228165</v>
      </c>
      <c r="N59" s="239">
        <v>215183</v>
      </c>
      <c r="O59" s="239">
        <v>207691</v>
      </c>
    </row>
    <row r="60" spans="1:15" ht="15" customHeight="1" x14ac:dyDescent="0.15">
      <c r="A60" s="236">
        <v>1057</v>
      </c>
      <c r="B60" s="237"/>
      <c r="C60" s="238" t="s">
        <v>296</v>
      </c>
      <c r="D60" s="237"/>
      <c r="E60" s="239">
        <v>193931</v>
      </c>
      <c r="F60" s="240">
        <f t="shared" si="0"/>
        <v>193931</v>
      </c>
      <c r="G60" s="236">
        <v>1057</v>
      </c>
      <c r="H60" s="241"/>
      <c r="I60" s="224"/>
      <c r="J60" s="224"/>
      <c r="K60" s="224"/>
      <c r="L60" s="224"/>
      <c r="M60" s="239">
        <v>186570</v>
      </c>
      <c r="N60" s="239">
        <v>181919</v>
      </c>
      <c r="O60" s="239">
        <v>174450</v>
      </c>
    </row>
    <row r="61" spans="1:15" ht="15" customHeight="1" x14ac:dyDescent="0.15">
      <c r="A61" s="236">
        <v>1058</v>
      </c>
      <c r="B61" s="237"/>
      <c r="C61" s="238" t="s">
        <v>297</v>
      </c>
      <c r="D61" s="237"/>
      <c r="E61" s="239">
        <v>218675</v>
      </c>
      <c r="F61" s="240">
        <f t="shared" si="0"/>
        <v>218675</v>
      </c>
      <c r="G61" s="236">
        <v>1058</v>
      </c>
      <c r="H61" s="241"/>
      <c r="I61" s="224"/>
      <c r="J61" s="224"/>
      <c r="K61" s="224"/>
      <c r="L61" s="224"/>
      <c r="M61" s="239">
        <v>214492</v>
      </c>
      <c r="N61" s="239">
        <v>206005</v>
      </c>
      <c r="O61" s="239">
        <v>198280</v>
      </c>
    </row>
    <row r="62" spans="1:15" ht="15" customHeight="1" x14ac:dyDescent="0.15">
      <c r="A62" s="236" t="s">
        <v>298</v>
      </c>
      <c r="B62" s="237"/>
      <c r="C62" s="238" t="s">
        <v>299</v>
      </c>
      <c r="D62" s="246"/>
      <c r="E62" s="239">
        <v>236835</v>
      </c>
      <c r="F62" s="240">
        <f t="shared" si="0"/>
        <v>236835</v>
      </c>
      <c r="G62" s="236">
        <v>1059</v>
      </c>
      <c r="H62" s="247"/>
      <c r="I62" s="224"/>
      <c r="J62" s="224"/>
      <c r="K62" s="224"/>
      <c r="L62" s="224"/>
      <c r="M62" s="239">
        <v>0</v>
      </c>
      <c r="N62" s="239">
        <v>238902</v>
      </c>
      <c r="O62" s="239">
        <v>231482</v>
      </c>
    </row>
    <row r="63" spans="1:15" ht="15" customHeight="1" x14ac:dyDescent="0.15">
      <c r="A63" s="236">
        <v>1060</v>
      </c>
      <c r="B63" s="237"/>
      <c r="C63" s="238" t="s">
        <v>300</v>
      </c>
      <c r="D63" s="246"/>
      <c r="E63" s="239">
        <v>215100</v>
      </c>
      <c r="F63" s="240">
        <f t="shared" si="0"/>
        <v>215100</v>
      </c>
      <c r="G63" s="236">
        <v>1060</v>
      </c>
      <c r="H63" s="247"/>
      <c r="I63" s="224"/>
      <c r="J63" s="224"/>
      <c r="K63" s="224"/>
      <c r="L63" s="224"/>
      <c r="M63" s="239">
        <v>208455</v>
      </c>
      <c r="N63" s="239">
        <v>208340</v>
      </c>
      <c r="O63" s="239">
        <v>198390</v>
      </c>
    </row>
    <row r="64" spans="1:15" ht="15" customHeight="1" x14ac:dyDescent="0.15">
      <c r="A64" s="236">
        <v>1061</v>
      </c>
      <c r="B64" s="237"/>
      <c r="C64" s="238" t="s">
        <v>1123</v>
      </c>
      <c r="D64" s="246"/>
      <c r="E64" s="239">
        <v>150630</v>
      </c>
      <c r="F64" s="240">
        <f t="shared" si="0"/>
        <v>150630</v>
      </c>
      <c r="G64" s="236">
        <v>1061</v>
      </c>
      <c r="H64" s="247"/>
      <c r="I64" s="224"/>
      <c r="J64" s="224"/>
      <c r="K64" s="224"/>
      <c r="L64" s="224"/>
      <c r="M64" s="239">
        <v>144628</v>
      </c>
      <c r="N64" s="239">
        <v>137324</v>
      </c>
      <c r="O64" s="239">
        <v>131788</v>
      </c>
    </row>
    <row r="65" spans="1:15" ht="15" customHeight="1" x14ac:dyDescent="0.15">
      <c r="A65" s="236">
        <v>1062</v>
      </c>
      <c r="B65" s="237"/>
      <c r="C65" s="238" t="s">
        <v>1124</v>
      </c>
      <c r="D65" s="237"/>
      <c r="E65" s="239">
        <v>251985</v>
      </c>
      <c r="F65" s="240">
        <f t="shared" si="0"/>
        <v>251985</v>
      </c>
      <c r="G65" s="236">
        <v>1062</v>
      </c>
      <c r="H65" s="241"/>
      <c r="I65" s="224"/>
      <c r="J65" s="224"/>
      <c r="K65" s="224"/>
      <c r="L65" s="224"/>
      <c r="M65" s="239">
        <v>232364</v>
      </c>
      <c r="N65" s="239">
        <v>220324</v>
      </c>
      <c r="O65" s="239">
        <v>210066</v>
      </c>
    </row>
    <row r="66" spans="1:15" ht="15" customHeight="1" x14ac:dyDescent="0.15">
      <c r="A66" s="236" t="s">
        <v>301</v>
      </c>
      <c r="B66" s="237"/>
      <c r="C66" s="238" t="s">
        <v>1125</v>
      </c>
      <c r="D66" s="237"/>
      <c r="E66" s="239">
        <v>179406</v>
      </c>
      <c r="F66" s="240">
        <f t="shared" si="0"/>
        <v>179406</v>
      </c>
      <c r="G66" s="236">
        <v>1063</v>
      </c>
      <c r="H66" s="241"/>
      <c r="I66" s="224"/>
      <c r="J66" s="224"/>
      <c r="K66" s="224"/>
      <c r="L66" s="224"/>
      <c r="M66" s="239">
        <v>167232</v>
      </c>
      <c r="N66" s="239">
        <v>162516</v>
      </c>
      <c r="O66" s="239">
        <v>165415</v>
      </c>
    </row>
    <row r="67" spans="1:15" ht="15" customHeight="1" x14ac:dyDescent="0.15">
      <c r="A67" s="236" t="s">
        <v>1126</v>
      </c>
      <c r="B67" s="237"/>
      <c r="C67" s="238" t="s">
        <v>1127</v>
      </c>
      <c r="D67" s="237"/>
      <c r="E67" s="239" t="s">
        <v>289</v>
      </c>
      <c r="F67" s="240" t="e">
        <f t="shared" si="0"/>
        <v>#VALUE!</v>
      </c>
      <c r="G67" s="236">
        <v>1064</v>
      </c>
      <c r="H67" s="241"/>
      <c r="I67" s="224"/>
      <c r="J67" s="224"/>
      <c r="K67" s="224"/>
      <c r="L67" s="224"/>
      <c r="M67" s="239">
        <v>0</v>
      </c>
      <c r="N67" s="239">
        <v>148990</v>
      </c>
      <c r="O67" s="239" t="s">
        <v>289</v>
      </c>
    </row>
    <row r="68" spans="1:15" ht="15" customHeight="1" x14ac:dyDescent="0.15">
      <c r="A68" s="236" t="s">
        <v>302</v>
      </c>
      <c r="B68" s="237"/>
      <c r="C68" s="238" t="s">
        <v>1128</v>
      </c>
      <c r="D68" s="237"/>
      <c r="E68" s="239">
        <v>207593</v>
      </c>
      <c r="F68" s="240">
        <f t="shared" ref="F68:F120" si="1">TRUNC(E68*$J$2%)</f>
        <v>207593</v>
      </c>
      <c r="G68" s="236">
        <v>1065</v>
      </c>
      <c r="H68" s="241"/>
      <c r="I68" s="224"/>
      <c r="J68" s="224"/>
      <c r="K68" s="224"/>
      <c r="L68" s="224"/>
      <c r="M68" s="239">
        <v>218315</v>
      </c>
      <c r="N68" s="239">
        <v>207683</v>
      </c>
      <c r="O68" s="239">
        <v>199137</v>
      </c>
    </row>
    <row r="69" spans="1:15" ht="15" customHeight="1" x14ac:dyDescent="0.15">
      <c r="A69" s="236">
        <v>1066</v>
      </c>
      <c r="B69" s="237"/>
      <c r="C69" s="238" t="s">
        <v>303</v>
      </c>
      <c r="D69" s="237"/>
      <c r="E69" s="239">
        <v>232456</v>
      </c>
      <c r="F69" s="240">
        <f t="shared" si="1"/>
        <v>232456</v>
      </c>
      <c r="G69" s="236">
        <v>1066</v>
      </c>
      <c r="H69" s="241"/>
      <c r="I69" s="224"/>
      <c r="J69" s="224"/>
      <c r="K69" s="224"/>
      <c r="L69" s="224"/>
      <c r="M69" s="239">
        <v>233932</v>
      </c>
      <c r="N69" s="239">
        <v>227911</v>
      </c>
      <c r="O69" s="239">
        <v>229812</v>
      </c>
    </row>
    <row r="70" spans="1:15" ht="15" customHeight="1" x14ac:dyDescent="0.15">
      <c r="A70" s="236">
        <v>1067</v>
      </c>
      <c r="B70" s="244"/>
      <c r="C70" s="238" t="s">
        <v>1129</v>
      </c>
      <c r="D70" s="248"/>
      <c r="E70" s="239">
        <v>244733</v>
      </c>
      <c r="F70" s="240">
        <f t="shared" si="1"/>
        <v>244733</v>
      </c>
      <c r="G70" s="236">
        <v>1067</v>
      </c>
      <c r="H70" s="247"/>
      <c r="I70" s="224"/>
      <c r="J70" s="224"/>
      <c r="K70" s="224"/>
      <c r="L70" s="224"/>
      <c r="M70" s="239">
        <v>228210</v>
      </c>
      <c r="N70" s="239">
        <v>215672</v>
      </c>
      <c r="O70" s="239">
        <v>218104</v>
      </c>
    </row>
    <row r="71" spans="1:15" ht="15" customHeight="1" x14ac:dyDescent="0.15">
      <c r="A71" s="236" t="s">
        <v>1130</v>
      </c>
      <c r="B71" s="237"/>
      <c r="C71" s="238" t="s">
        <v>1131</v>
      </c>
      <c r="D71" s="237"/>
      <c r="E71" s="239">
        <v>157891</v>
      </c>
      <c r="F71" s="240">
        <f t="shared" si="1"/>
        <v>157891</v>
      </c>
      <c r="G71" s="236">
        <v>1068</v>
      </c>
      <c r="H71" s="241"/>
      <c r="I71" s="224"/>
      <c r="J71" s="224"/>
      <c r="K71" s="224"/>
      <c r="L71" s="224"/>
      <c r="M71" s="239">
        <v>145116</v>
      </c>
      <c r="N71" s="239">
        <v>141211</v>
      </c>
      <c r="O71" s="239">
        <v>138407</v>
      </c>
    </row>
    <row r="72" spans="1:15" ht="15" customHeight="1" x14ac:dyDescent="0.15">
      <c r="A72" s="236" t="s">
        <v>304</v>
      </c>
      <c r="B72" s="237"/>
      <c r="C72" s="238" t="s">
        <v>1132</v>
      </c>
      <c r="D72" s="237"/>
      <c r="E72" s="239">
        <v>140800</v>
      </c>
      <c r="F72" s="240">
        <f t="shared" si="1"/>
        <v>140800</v>
      </c>
      <c r="G72" s="236">
        <v>1069</v>
      </c>
      <c r="H72" s="241"/>
      <c r="I72" s="224"/>
      <c r="J72" s="224"/>
      <c r="K72" s="224"/>
      <c r="L72" s="224"/>
      <c r="M72" s="239">
        <v>128297</v>
      </c>
      <c r="N72" s="239">
        <v>121054</v>
      </c>
      <c r="O72" s="239">
        <v>114532</v>
      </c>
    </row>
    <row r="73" spans="1:15" ht="15" customHeight="1" x14ac:dyDescent="0.15">
      <c r="A73" s="236">
        <v>1070</v>
      </c>
      <c r="B73" s="237"/>
      <c r="C73" s="238" t="s">
        <v>1133</v>
      </c>
      <c r="D73" s="237"/>
      <c r="E73" s="239">
        <v>128520</v>
      </c>
      <c r="F73" s="240">
        <f t="shared" si="1"/>
        <v>128520</v>
      </c>
      <c r="G73" s="236">
        <v>1070</v>
      </c>
      <c r="H73" s="241"/>
      <c r="I73" s="224"/>
      <c r="J73" s="224"/>
      <c r="K73" s="224"/>
      <c r="L73" s="224"/>
      <c r="M73" s="239">
        <v>117817</v>
      </c>
      <c r="N73" s="239">
        <v>113011</v>
      </c>
      <c r="O73" s="239">
        <v>109937</v>
      </c>
    </row>
    <row r="74" spans="1:15" ht="15" customHeight="1" x14ac:dyDescent="0.15">
      <c r="A74" s="236" t="s">
        <v>305</v>
      </c>
      <c r="B74" s="237"/>
      <c r="C74" s="238" t="s">
        <v>1134</v>
      </c>
      <c r="D74" s="237"/>
      <c r="E74" s="239">
        <v>114770</v>
      </c>
      <c r="F74" s="240">
        <f t="shared" si="1"/>
        <v>114770</v>
      </c>
      <c r="G74" s="236">
        <v>1071</v>
      </c>
      <c r="H74" s="241"/>
      <c r="I74" s="224"/>
      <c r="J74" s="224"/>
      <c r="K74" s="224"/>
      <c r="L74" s="224"/>
      <c r="M74" s="239">
        <v>105716</v>
      </c>
      <c r="N74" s="239">
        <v>99902</v>
      </c>
      <c r="O74" s="239">
        <v>94545</v>
      </c>
    </row>
    <row r="75" spans="1:15" ht="15" customHeight="1" x14ac:dyDescent="0.15">
      <c r="A75" s="236">
        <v>1072</v>
      </c>
      <c r="B75" s="237"/>
      <c r="C75" s="238" t="s">
        <v>1135</v>
      </c>
      <c r="D75" s="237"/>
      <c r="E75" s="239">
        <v>237460</v>
      </c>
      <c r="F75" s="240">
        <f t="shared" si="1"/>
        <v>237460</v>
      </c>
      <c r="G75" s="236">
        <v>1072</v>
      </c>
      <c r="H75" s="241"/>
      <c r="I75" s="224"/>
      <c r="J75" s="224"/>
      <c r="K75" s="224"/>
      <c r="L75" s="224"/>
      <c r="M75" s="239">
        <v>223006</v>
      </c>
      <c r="N75" s="239">
        <v>206417</v>
      </c>
      <c r="O75" s="239">
        <v>213060</v>
      </c>
    </row>
    <row r="76" spans="1:15" ht="15" customHeight="1" x14ac:dyDescent="0.15">
      <c r="A76" s="236">
        <v>1073</v>
      </c>
      <c r="B76" s="237"/>
      <c r="C76" s="238" t="s">
        <v>1136</v>
      </c>
      <c r="D76" s="237"/>
      <c r="E76" s="239">
        <v>205029</v>
      </c>
      <c r="F76" s="240">
        <f t="shared" si="1"/>
        <v>205029</v>
      </c>
      <c r="G76" s="236">
        <v>1073</v>
      </c>
      <c r="H76" s="241"/>
      <c r="I76" s="224"/>
      <c r="J76" s="224"/>
      <c r="K76" s="224"/>
      <c r="L76" s="224"/>
      <c r="M76" s="239">
        <v>190980</v>
      </c>
      <c r="N76" s="239">
        <v>176057</v>
      </c>
      <c r="O76" s="239">
        <v>189484</v>
      </c>
    </row>
    <row r="77" spans="1:15" ht="15" customHeight="1" x14ac:dyDescent="0.15">
      <c r="A77" s="236">
        <v>1074</v>
      </c>
      <c r="B77" s="237"/>
      <c r="C77" s="238" t="s">
        <v>1137</v>
      </c>
      <c r="D77" s="237"/>
      <c r="E77" s="239">
        <v>174452</v>
      </c>
      <c r="F77" s="240">
        <f t="shared" si="1"/>
        <v>174452</v>
      </c>
      <c r="G77" s="236">
        <v>1074</v>
      </c>
      <c r="H77" s="241"/>
      <c r="I77" s="224"/>
      <c r="J77" s="224"/>
      <c r="K77" s="224"/>
      <c r="L77" s="224"/>
      <c r="M77" s="239">
        <v>163334</v>
      </c>
      <c r="N77" s="239">
        <v>152797</v>
      </c>
      <c r="O77" s="239">
        <v>160774</v>
      </c>
    </row>
    <row r="78" spans="1:15" ht="15" customHeight="1" x14ac:dyDescent="0.15">
      <c r="A78" s="236">
        <v>1075</v>
      </c>
      <c r="B78" s="237"/>
      <c r="C78" s="238" t="s">
        <v>306</v>
      </c>
      <c r="D78" s="237"/>
      <c r="E78" s="239">
        <v>191336</v>
      </c>
      <c r="F78" s="240">
        <f t="shared" si="1"/>
        <v>191336</v>
      </c>
      <c r="G78" s="236">
        <v>1075</v>
      </c>
      <c r="H78" s="241"/>
      <c r="I78" s="224"/>
      <c r="J78" s="224"/>
      <c r="K78" s="224"/>
      <c r="L78" s="224"/>
      <c r="M78" s="239">
        <v>179883</v>
      </c>
      <c r="N78" s="239">
        <v>169202</v>
      </c>
      <c r="O78" s="239">
        <v>160882</v>
      </c>
    </row>
    <row r="79" spans="1:15" ht="15" customHeight="1" x14ac:dyDescent="0.15">
      <c r="A79" s="236">
        <v>1076</v>
      </c>
      <c r="B79" s="237"/>
      <c r="C79" s="238" t="s">
        <v>307</v>
      </c>
      <c r="D79" s="246"/>
      <c r="E79" s="239">
        <v>277601</v>
      </c>
      <c r="F79" s="240">
        <f t="shared" si="1"/>
        <v>277601</v>
      </c>
      <c r="G79" s="236">
        <v>1076</v>
      </c>
      <c r="H79" s="241"/>
      <c r="I79" s="224"/>
      <c r="J79" s="224"/>
      <c r="K79" s="224"/>
      <c r="L79" s="224"/>
      <c r="M79" s="239">
        <v>258175</v>
      </c>
      <c r="N79" s="239">
        <v>264903</v>
      </c>
      <c r="O79" s="239">
        <v>260975</v>
      </c>
    </row>
    <row r="80" spans="1:15" ht="15" customHeight="1" x14ac:dyDescent="0.15">
      <c r="A80" s="236">
        <v>1077</v>
      </c>
      <c r="B80" s="237"/>
      <c r="C80" s="238" t="s">
        <v>308</v>
      </c>
      <c r="D80" s="237"/>
      <c r="E80" s="239">
        <v>267103</v>
      </c>
      <c r="F80" s="240">
        <f t="shared" si="1"/>
        <v>267103</v>
      </c>
      <c r="G80" s="236">
        <v>1077</v>
      </c>
      <c r="H80" s="241"/>
      <c r="I80" s="224"/>
      <c r="J80" s="224"/>
      <c r="K80" s="224"/>
      <c r="L80" s="224"/>
      <c r="M80" s="239">
        <v>239949</v>
      </c>
      <c r="N80" s="239">
        <v>235207</v>
      </c>
      <c r="O80" s="239">
        <v>235019</v>
      </c>
    </row>
    <row r="81" spans="1:15" ht="15" customHeight="1" x14ac:dyDescent="0.15">
      <c r="A81" s="236">
        <v>1078</v>
      </c>
      <c r="B81" s="237"/>
      <c r="C81" s="238" t="s">
        <v>309</v>
      </c>
      <c r="D81" s="237"/>
      <c r="E81" s="239">
        <v>212186</v>
      </c>
      <c r="F81" s="240">
        <f t="shared" si="1"/>
        <v>212186</v>
      </c>
      <c r="G81" s="236">
        <v>1078</v>
      </c>
      <c r="H81" s="241"/>
      <c r="I81" s="224"/>
      <c r="J81" s="224"/>
      <c r="K81" s="224"/>
      <c r="L81" s="224"/>
      <c r="M81" s="239">
        <v>192705</v>
      </c>
      <c r="N81" s="239">
        <v>199868</v>
      </c>
      <c r="O81" s="239">
        <v>193986</v>
      </c>
    </row>
    <row r="82" spans="1:15" ht="15" customHeight="1" x14ac:dyDescent="0.15">
      <c r="A82" s="236">
        <v>1079</v>
      </c>
      <c r="B82" s="237"/>
      <c r="C82" s="238" t="s">
        <v>310</v>
      </c>
      <c r="D82" s="237"/>
      <c r="E82" s="239">
        <v>371019</v>
      </c>
      <c r="F82" s="240">
        <f t="shared" si="1"/>
        <v>371019</v>
      </c>
      <c r="G82" s="236">
        <v>1079</v>
      </c>
      <c r="H82" s="241"/>
      <c r="I82" s="224"/>
      <c r="J82" s="224"/>
      <c r="K82" s="224"/>
      <c r="L82" s="224"/>
      <c r="M82" s="239">
        <v>356456</v>
      </c>
      <c r="N82" s="239">
        <v>351506</v>
      </c>
      <c r="O82" s="239">
        <v>358569</v>
      </c>
    </row>
    <row r="83" spans="1:15" ht="15" customHeight="1" x14ac:dyDescent="0.15">
      <c r="A83" s="236">
        <v>1080</v>
      </c>
      <c r="B83" s="237"/>
      <c r="C83" s="238" t="s">
        <v>311</v>
      </c>
      <c r="D83" s="237"/>
      <c r="E83" s="239">
        <v>405013</v>
      </c>
      <c r="F83" s="240">
        <f t="shared" si="1"/>
        <v>405013</v>
      </c>
      <c r="G83" s="236">
        <v>1080</v>
      </c>
      <c r="H83" s="241"/>
      <c r="I83" s="224"/>
      <c r="J83" s="224"/>
      <c r="K83" s="224"/>
      <c r="L83" s="224"/>
      <c r="M83" s="239">
        <v>377712</v>
      </c>
      <c r="N83" s="239">
        <v>390035</v>
      </c>
      <c r="O83" s="239">
        <v>392819</v>
      </c>
    </row>
    <row r="84" spans="1:15" ht="15" customHeight="1" x14ac:dyDescent="0.15">
      <c r="A84" s="236">
        <v>1081</v>
      </c>
      <c r="B84" s="237"/>
      <c r="C84" s="238" t="s">
        <v>312</v>
      </c>
      <c r="D84" s="237"/>
      <c r="E84" s="239">
        <v>310429</v>
      </c>
      <c r="F84" s="240">
        <f t="shared" si="1"/>
        <v>310429</v>
      </c>
      <c r="G84" s="236">
        <v>1081</v>
      </c>
      <c r="H84" s="241"/>
      <c r="I84" s="224"/>
      <c r="J84" s="224"/>
      <c r="K84" s="224"/>
      <c r="L84" s="224"/>
      <c r="M84" s="239">
        <v>300525</v>
      </c>
      <c r="N84" s="239">
        <v>274706</v>
      </c>
      <c r="O84" s="239">
        <v>254503</v>
      </c>
    </row>
    <row r="85" spans="1:15" ht="15" customHeight="1" x14ac:dyDescent="0.15">
      <c r="A85" s="236">
        <v>1082</v>
      </c>
      <c r="B85" s="237"/>
      <c r="C85" s="238" t="s">
        <v>313</v>
      </c>
      <c r="D85" s="237"/>
      <c r="E85" s="239">
        <v>389223</v>
      </c>
      <c r="F85" s="240">
        <f t="shared" si="1"/>
        <v>389223</v>
      </c>
      <c r="G85" s="236">
        <v>1082</v>
      </c>
      <c r="H85" s="241"/>
      <c r="I85" s="224"/>
      <c r="J85" s="224"/>
      <c r="K85" s="224"/>
      <c r="L85" s="224"/>
      <c r="M85" s="239">
        <v>385385</v>
      </c>
      <c r="N85" s="239">
        <v>376824</v>
      </c>
      <c r="O85" s="239">
        <v>373173</v>
      </c>
    </row>
    <row r="86" spans="1:15" ht="15" customHeight="1" x14ac:dyDescent="0.15">
      <c r="A86" s="236">
        <v>1083</v>
      </c>
      <c r="B86" s="237"/>
      <c r="C86" s="238" t="s">
        <v>314</v>
      </c>
      <c r="D86" s="237"/>
      <c r="E86" s="239">
        <v>192777</v>
      </c>
      <c r="F86" s="240">
        <f t="shared" si="1"/>
        <v>192777</v>
      </c>
      <c r="G86" s="236">
        <v>1083</v>
      </c>
      <c r="H86" s="241"/>
      <c r="I86" s="224"/>
      <c r="J86" s="224"/>
      <c r="K86" s="224"/>
      <c r="L86" s="224"/>
      <c r="M86" s="239">
        <v>185583</v>
      </c>
      <c r="N86" s="239">
        <v>180382</v>
      </c>
      <c r="O86" s="239">
        <v>183097</v>
      </c>
    </row>
    <row r="87" spans="1:15" ht="15" customHeight="1" x14ac:dyDescent="0.15">
      <c r="A87" s="236">
        <v>1084</v>
      </c>
      <c r="B87" s="237"/>
      <c r="C87" s="238" t="s">
        <v>315</v>
      </c>
      <c r="D87" s="237"/>
      <c r="E87" s="239">
        <v>191809</v>
      </c>
      <c r="F87" s="240">
        <f t="shared" si="1"/>
        <v>191809</v>
      </c>
      <c r="G87" s="236">
        <v>1084</v>
      </c>
      <c r="H87" s="241"/>
      <c r="I87" s="224"/>
      <c r="J87" s="224"/>
      <c r="K87" s="224"/>
      <c r="L87" s="224"/>
      <c r="M87" s="239">
        <v>179627</v>
      </c>
      <c r="N87" s="239">
        <v>182853</v>
      </c>
      <c r="O87" s="239">
        <v>171877</v>
      </c>
    </row>
    <row r="88" spans="1:15" ht="15" customHeight="1" x14ac:dyDescent="0.15">
      <c r="A88" s="236">
        <v>1085</v>
      </c>
      <c r="B88" s="237"/>
      <c r="C88" s="238" t="s">
        <v>316</v>
      </c>
      <c r="D88" s="237"/>
      <c r="E88" s="239">
        <v>216069</v>
      </c>
      <c r="F88" s="240">
        <f t="shared" si="1"/>
        <v>216069</v>
      </c>
      <c r="G88" s="236">
        <v>1085</v>
      </c>
      <c r="H88" s="241"/>
      <c r="I88" s="224"/>
      <c r="J88" s="224"/>
      <c r="K88" s="224"/>
      <c r="L88" s="224"/>
      <c r="M88" s="239">
        <v>208591</v>
      </c>
      <c r="N88" s="239">
        <v>213802</v>
      </c>
      <c r="O88" s="239">
        <v>203649</v>
      </c>
    </row>
    <row r="89" spans="1:15" ht="15" customHeight="1" x14ac:dyDescent="0.15">
      <c r="A89" s="236">
        <v>1086</v>
      </c>
      <c r="B89" s="237"/>
      <c r="C89" s="238" t="s">
        <v>317</v>
      </c>
      <c r="D89" s="237"/>
      <c r="E89" s="239">
        <v>180623</v>
      </c>
      <c r="F89" s="240">
        <f t="shared" si="1"/>
        <v>180623</v>
      </c>
      <c r="G89" s="236">
        <v>1086</v>
      </c>
      <c r="H89" s="241"/>
      <c r="I89" s="224"/>
      <c r="J89" s="224"/>
      <c r="K89" s="224"/>
      <c r="L89" s="224"/>
      <c r="M89" s="239">
        <v>168154</v>
      </c>
      <c r="N89" s="239">
        <v>160672</v>
      </c>
      <c r="O89" s="239">
        <v>152692</v>
      </c>
    </row>
    <row r="90" spans="1:15" ht="15" customHeight="1" x14ac:dyDescent="0.15">
      <c r="A90" s="236">
        <v>1087</v>
      </c>
      <c r="B90" s="237"/>
      <c r="C90" s="238" t="s">
        <v>318</v>
      </c>
      <c r="D90" s="237"/>
      <c r="E90" s="239">
        <v>193302</v>
      </c>
      <c r="F90" s="240">
        <f t="shared" si="1"/>
        <v>193302</v>
      </c>
      <c r="G90" s="236">
        <v>1087</v>
      </c>
      <c r="H90" s="241"/>
      <c r="I90" s="224"/>
      <c r="J90" s="224"/>
      <c r="K90" s="224"/>
      <c r="L90" s="224"/>
      <c r="M90" s="239">
        <v>186932</v>
      </c>
      <c r="N90" s="239">
        <v>175822</v>
      </c>
      <c r="O90" s="239">
        <v>165682</v>
      </c>
    </row>
    <row r="91" spans="1:15" ht="15" customHeight="1" x14ac:dyDescent="0.15">
      <c r="A91" s="236">
        <v>1088</v>
      </c>
      <c r="B91" s="237"/>
      <c r="C91" s="238" t="s">
        <v>319</v>
      </c>
      <c r="D91" s="237"/>
      <c r="E91" s="239">
        <v>247618</v>
      </c>
      <c r="F91" s="240">
        <f t="shared" si="1"/>
        <v>247618</v>
      </c>
      <c r="G91" s="236">
        <v>1088</v>
      </c>
      <c r="H91" s="241"/>
      <c r="I91" s="224"/>
      <c r="J91" s="224"/>
      <c r="K91" s="224"/>
      <c r="L91" s="224"/>
      <c r="M91" s="239">
        <v>228133</v>
      </c>
      <c r="N91" s="239">
        <v>217488</v>
      </c>
      <c r="O91" s="239">
        <v>206221</v>
      </c>
    </row>
    <row r="92" spans="1:15" ht="15" customHeight="1" x14ac:dyDescent="0.15">
      <c r="A92" s="236">
        <v>1089</v>
      </c>
      <c r="B92" s="237"/>
      <c r="C92" s="238" t="s">
        <v>320</v>
      </c>
      <c r="D92" s="237"/>
      <c r="E92" s="239">
        <v>281658</v>
      </c>
      <c r="F92" s="240">
        <f t="shared" si="1"/>
        <v>281658</v>
      </c>
      <c r="G92" s="236">
        <v>1089</v>
      </c>
      <c r="H92" s="241"/>
      <c r="I92" s="224"/>
      <c r="J92" s="224"/>
      <c r="K92" s="224"/>
      <c r="L92" s="224"/>
      <c r="M92" s="239">
        <v>261699</v>
      </c>
      <c r="N92" s="239">
        <v>254897</v>
      </c>
      <c r="O92" s="239">
        <v>247227</v>
      </c>
    </row>
    <row r="93" spans="1:15" ht="15" customHeight="1" x14ac:dyDescent="0.15">
      <c r="A93" s="236">
        <v>1090</v>
      </c>
      <c r="B93" s="237"/>
      <c r="C93" s="238" t="s">
        <v>321</v>
      </c>
      <c r="D93" s="237"/>
      <c r="E93" s="239">
        <v>219758</v>
      </c>
      <c r="F93" s="240">
        <f t="shared" si="1"/>
        <v>219758</v>
      </c>
      <c r="G93" s="236">
        <v>1090</v>
      </c>
      <c r="H93" s="241"/>
      <c r="I93" s="224"/>
      <c r="J93" s="224"/>
      <c r="K93" s="224"/>
      <c r="L93" s="224"/>
      <c r="M93" s="239">
        <v>203950</v>
      </c>
      <c r="N93" s="239">
        <v>197143</v>
      </c>
      <c r="O93" s="239">
        <v>189061</v>
      </c>
    </row>
    <row r="94" spans="1:15" ht="15" customHeight="1" x14ac:dyDescent="0.15">
      <c r="A94" s="236" t="s">
        <v>322</v>
      </c>
      <c r="B94" s="237"/>
      <c r="C94" s="238" t="s">
        <v>1138</v>
      </c>
      <c r="D94" s="237"/>
      <c r="E94" s="239">
        <v>141192</v>
      </c>
      <c r="F94" s="240">
        <f t="shared" si="1"/>
        <v>141192</v>
      </c>
      <c r="G94" s="236">
        <v>1091</v>
      </c>
      <c r="H94" s="241"/>
      <c r="I94" s="224"/>
      <c r="J94" s="224"/>
      <c r="K94" s="224"/>
      <c r="L94" s="224"/>
      <c r="M94" s="239">
        <v>129920</v>
      </c>
      <c r="N94" s="239">
        <v>123810</v>
      </c>
      <c r="O94" s="239">
        <v>117550</v>
      </c>
    </row>
    <row r="95" spans="1:15" ht="15" customHeight="1" x14ac:dyDescent="0.15">
      <c r="A95" s="236">
        <v>2001</v>
      </c>
      <c r="B95" s="237"/>
      <c r="C95" s="238" t="s">
        <v>323</v>
      </c>
      <c r="D95" s="237"/>
      <c r="E95" s="239">
        <v>297118</v>
      </c>
      <c r="F95" s="240">
        <f t="shared" si="1"/>
        <v>297118</v>
      </c>
      <c r="G95" s="236">
        <v>2001</v>
      </c>
      <c r="H95" s="241"/>
      <c r="I95" s="224"/>
      <c r="J95" s="224"/>
      <c r="K95" s="224"/>
      <c r="L95" s="224"/>
      <c r="M95" s="239">
        <v>278477</v>
      </c>
      <c r="N95" s="239">
        <v>259367</v>
      </c>
      <c r="O95" s="239">
        <v>246430</v>
      </c>
    </row>
    <row r="96" spans="1:15" ht="15" customHeight="1" x14ac:dyDescent="0.15">
      <c r="A96" s="236" t="s">
        <v>1139</v>
      </c>
      <c r="B96" s="237"/>
      <c r="C96" s="238" t="s">
        <v>324</v>
      </c>
      <c r="D96" s="237"/>
      <c r="E96" s="239">
        <v>250248</v>
      </c>
      <c r="F96" s="240">
        <f t="shared" si="1"/>
        <v>250248</v>
      </c>
      <c r="G96" s="236">
        <v>2002</v>
      </c>
      <c r="H96" s="241"/>
      <c r="I96" s="224"/>
      <c r="J96" s="224"/>
      <c r="K96" s="224"/>
      <c r="L96" s="224"/>
      <c r="M96" s="239">
        <v>232334</v>
      </c>
      <c r="N96" s="239">
        <v>221946</v>
      </c>
      <c r="O96" s="239">
        <v>210314</v>
      </c>
    </row>
    <row r="97" spans="1:15" ht="15" customHeight="1" x14ac:dyDescent="0.15">
      <c r="A97" s="236" t="s">
        <v>1140</v>
      </c>
      <c r="B97" s="237"/>
      <c r="C97" s="238" t="s">
        <v>325</v>
      </c>
      <c r="D97" s="237"/>
      <c r="E97" s="239">
        <v>273048</v>
      </c>
      <c r="F97" s="240">
        <f t="shared" si="1"/>
        <v>273048</v>
      </c>
      <c r="G97" s="236">
        <v>2003</v>
      </c>
      <c r="H97" s="241"/>
      <c r="I97" s="224"/>
      <c r="J97" s="224"/>
      <c r="K97" s="224"/>
      <c r="L97" s="224"/>
      <c r="M97" s="239">
        <v>253927</v>
      </c>
      <c r="N97" s="239">
        <v>240506</v>
      </c>
      <c r="O97" s="239">
        <v>228481</v>
      </c>
    </row>
    <row r="98" spans="1:15" ht="15" customHeight="1" x14ac:dyDescent="0.15">
      <c r="A98" s="236">
        <v>3001</v>
      </c>
      <c r="B98" s="237"/>
      <c r="C98" s="238" t="s">
        <v>326</v>
      </c>
      <c r="D98" s="237"/>
      <c r="E98" s="239">
        <v>316058</v>
      </c>
      <c r="F98" s="240">
        <f t="shared" si="1"/>
        <v>316058</v>
      </c>
      <c r="G98" s="236">
        <v>3001</v>
      </c>
      <c r="H98" s="241"/>
      <c r="I98" s="224"/>
      <c r="J98" s="224"/>
      <c r="K98" s="224"/>
      <c r="L98" s="224"/>
      <c r="M98" s="239">
        <v>293638</v>
      </c>
      <c r="N98" s="239">
        <v>302639</v>
      </c>
      <c r="O98" s="239">
        <v>292427</v>
      </c>
    </row>
    <row r="99" spans="1:15" ht="15" customHeight="1" x14ac:dyDescent="0.15">
      <c r="A99" s="236" t="s">
        <v>327</v>
      </c>
      <c r="B99" s="237"/>
      <c r="C99" s="238" t="s">
        <v>328</v>
      </c>
      <c r="D99" s="237"/>
      <c r="E99" s="239">
        <v>249149</v>
      </c>
      <c r="F99" s="240">
        <f t="shared" si="1"/>
        <v>249149</v>
      </c>
      <c r="G99" s="236">
        <v>3002</v>
      </c>
      <c r="H99" s="241"/>
      <c r="I99" s="224"/>
      <c r="J99" s="224"/>
      <c r="K99" s="224"/>
      <c r="L99" s="224"/>
      <c r="M99" s="239">
        <v>244077</v>
      </c>
      <c r="N99" s="239">
        <v>243036</v>
      </c>
      <c r="O99" s="239">
        <v>232345</v>
      </c>
    </row>
    <row r="100" spans="1:15" ht="15" customHeight="1" x14ac:dyDescent="0.15">
      <c r="A100" s="236">
        <v>3003</v>
      </c>
      <c r="B100" s="237"/>
      <c r="C100" s="238" t="s">
        <v>329</v>
      </c>
      <c r="D100" s="237"/>
      <c r="E100" s="239">
        <v>213912</v>
      </c>
      <c r="F100" s="240">
        <f t="shared" si="1"/>
        <v>213912</v>
      </c>
      <c r="G100" s="236">
        <v>3003</v>
      </c>
      <c r="H100" s="241"/>
      <c r="I100" s="224"/>
      <c r="J100" s="224"/>
      <c r="K100" s="224"/>
      <c r="L100" s="224"/>
      <c r="M100" s="239">
        <v>195547</v>
      </c>
      <c r="N100" s="239">
        <v>201547</v>
      </c>
      <c r="O100" s="239">
        <v>193133</v>
      </c>
    </row>
    <row r="101" spans="1:15" ht="15" customHeight="1" x14ac:dyDescent="0.15">
      <c r="A101" s="236">
        <v>3004</v>
      </c>
      <c r="B101" s="237"/>
      <c r="C101" s="238" t="s">
        <v>330</v>
      </c>
      <c r="D101" s="237"/>
      <c r="E101" s="239">
        <v>162262</v>
      </c>
      <c r="F101" s="240">
        <f t="shared" si="1"/>
        <v>162262</v>
      </c>
      <c r="G101" s="236">
        <v>3004</v>
      </c>
      <c r="H101" s="241"/>
      <c r="I101" s="224"/>
      <c r="J101" s="224"/>
      <c r="K101" s="224"/>
      <c r="L101" s="224"/>
      <c r="M101" s="239">
        <v>156441</v>
      </c>
      <c r="N101" s="239">
        <v>145409</v>
      </c>
      <c r="O101" s="239">
        <v>138734</v>
      </c>
    </row>
    <row r="102" spans="1:15" ht="15" customHeight="1" x14ac:dyDescent="0.15">
      <c r="A102" s="236">
        <v>3005</v>
      </c>
      <c r="B102" s="237"/>
      <c r="C102" s="238" t="s">
        <v>1141</v>
      </c>
      <c r="D102" s="237"/>
      <c r="E102" s="239">
        <v>253955</v>
      </c>
      <c r="F102" s="240">
        <f t="shared" si="1"/>
        <v>253955</v>
      </c>
      <c r="G102" s="236">
        <v>3005</v>
      </c>
      <c r="H102" s="241"/>
      <c r="I102" s="224"/>
      <c r="J102" s="224"/>
      <c r="K102" s="224"/>
      <c r="L102" s="224"/>
      <c r="M102" s="239">
        <v>240644</v>
      </c>
      <c r="N102" s="239">
        <v>231118</v>
      </c>
      <c r="O102" s="239">
        <v>218163</v>
      </c>
    </row>
    <row r="103" spans="1:15" ht="15" customHeight="1" x14ac:dyDescent="0.15">
      <c r="A103" s="236">
        <v>3006</v>
      </c>
      <c r="B103" s="237"/>
      <c r="C103" s="238" t="s">
        <v>331</v>
      </c>
      <c r="D103" s="237"/>
      <c r="E103" s="239">
        <v>188152</v>
      </c>
      <c r="F103" s="240">
        <f t="shared" si="1"/>
        <v>188152</v>
      </c>
      <c r="G103" s="236">
        <v>3006</v>
      </c>
      <c r="H103" s="241"/>
      <c r="I103" s="224"/>
      <c r="J103" s="224"/>
      <c r="K103" s="224"/>
      <c r="L103" s="224"/>
      <c r="M103" s="239">
        <v>172651</v>
      </c>
      <c r="N103" s="239">
        <v>160875</v>
      </c>
      <c r="O103" s="239">
        <v>154122</v>
      </c>
    </row>
    <row r="104" spans="1:15" ht="15" customHeight="1" x14ac:dyDescent="0.15">
      <c r="A104" s="236">
        <v>3007</v>
      </c>
      <c r="B104" s="237"/>
      <c r="C104" s="238" t="s">
        <v>332</v>
      </c>
      <c r="D104" s="237"/>
      <c r="E104" s="239">
        <v>264383</v>
      </c>
      <c r="F104" s="240">
        <f t="shared" si="1"/>
        <v>264383</v>
      </c>
      <c r="G104" s="236">
        <v>3007</v>
      </c>
      <c r="H104" s="241"/>
      <c r="I104" s="224"/>
      <c r="J104" s="224"/>
      <c r="K104" s="224"/>
      <c r="L104" s="224"/>
      <c r="M104" s="239">
        <v>239973</v>
      </c>
      <c r="N104" s="239">
        <v>230714</v>
      </c>
      <c r="O104" s="239">
        <v>216076</v>
      </c>
    </row>
    <row r="105" spans="1:15" ht="15" customHeight="1" x14ac:dyDescent="0.15">
      <c r="A105" s="236">
        <v>3008</v>
      </c>
      <c r="B105" s="237"/>
      <c r="C105" s="238" t="s">
        <v>333</v>
      </c>
      <c r="D105" s="237"/>
      <c r="E105" s="239">
        <v>177441</v>
      </c>
      <c r="F105" s="240">
        <f t="shared" si="1"/>
        <v>177441</v>
      </c>
      <c r="G105" s="236">
        <v>3008</v>
      </c>
      <c r="H105" s="241"/>
      <c r="I105" s="224"/>
      <c r="J105" s="224"/>
      <c r="K105" s="224"/>
      <c r="L105" s="224"/>
      <c r="M105" s="239">
        <v>169974</v>
      </c>
      <c r="N105" s="239">
        <v>170393</v>
      </c>
      <c r="O105" s="239">
        <v>163628</v>
      </c>
    </row>
    <row r="106" spans="1:15" ht="15" customHeight="1" x14ac:dyDescent="0.15">
      <c r="A106" s="236" t="s">
        <v>334</v>
      </c>
      <c r="B106" s="237"/>
      <c r="C106" s="238" t="s">
        <v>335</v>
      </c>
      <c r="D106" s="237"/>
      <c r="E106" s="239">
        <v>179802</v>
      </c>
      <c r="F106" s="240">
        <f t="shared" si="1"/>
        <v>179802</v>
      </c>
      <c r="G106" s="236">
        <v>3009</v>
      </c>
      <c r="H106" s="241"/>
      <c r="I106" s="224"/>
      <c r="J106" s="224"/>
      <c r="K106" s="224"/>
      <c r="L106" s="224"/>
      <c r="M106" s="239">
        <v>167273</v>
      </c>
      <c r="N106" s="239">
        <v>153936</v>
      </c>
      <c r="O106" s="239">
        <v>153936</v>
      </c>
    </row>
    <row r="107" spans="1:15" ht="15" customHeight="1" x14ac:dyDescent="0.15">
      <c r="A107" s="236" t="s">
        <v>1142</v>
      </c>
      <c r="B107" s="237"/>
      <c r="C107" s="238" t="s">
        <v>336</v>
      </c>
      <c r="D107" s="237"/>
      <c r="E107" s="239">
        <v>203196</v>
      </c>
      <c r="F107" s="240">
        <f t="shared" si="1"/>
        <v>203196</v>
      </c>
      <c r="G107" s="236">
        <v>3010</v>
      </c>
      <c r="H107" s="241"/>
      <c r="I107" s="224"/>
      <c r="J107" s="224"/>
      <c r="K107" s="224"/>
      <c r="L107" s="224"/>
      <c r="M107" s="239">
        <v>193297</v>
      </c>
      <c r="N107" s="239" t="s">
        <v>289</v>
      </c>
      <c r="O107" s="239">
        <v>190475</v>
      </c>
    </row>
    <row r="108" spans="1:15" ht="15" customHeight="1" x14ac:dyDescent="0.15">
      <c r="A108" s="236" t="s">
        <v>337</v>
      </c>
      <c r="B108" s="237"/>
      <c r="C108" s="238" t="s">
        <v>338</v>
      </c>
      <c r="D108" s="237"/>
      <c r="E108" s="239">
        <v>238720</v>
      </c>
      <c r="F108" s="240">
        <f t="shared" si="1"/>
        <v>238720</v>
      </c>
      <c r="G108" s="236">
        <v>3011</v>
      </c>
      <c r="H108" s="241"/>
      <c r="I108" s="224"/>
      <c r="J108" s="224"/>
      <c r="K108" s="224"/>
      <c r="L108" s="224"/>
      <c r="M108" s="239">
        <v>235175</v>
      </c>
      <c r="N108" s="239" t="s">
        <v>289</v>
      </c>
      <c r="O108" s="239">
        <v>230344</v>
      </c>
    </row>
    <row r="109" spans="1:15" ht="15" customHeight="1" x14ac:dyDescent="0.15">
      <c r="A109" s="236">
        <v>3012</v>
      </c>
      <c r="B109" s="242"/>
      <c r="C109" s="238" t="s">
        <v>339</v>
      </c>
      <c r="D109" s="243"/>
      <c r="E109" s="239">
        <v>205586</v>
      </c>
      <c r="F109" s="240">
        <f t="shared" si="1"/>
        <v>205586</v>
      </c>
      <c r="G109" s="236">
        <v>3012</v>
      </c>
      <c r="H109" s="241"/>
      <c r="I109" s="224"/>
      <c r="J109" s="224"/>
      <c r="K109" s="224"/>
      <c r="L109" s="224"/>
      <c r="M109" s="239">
        <v>198632</v>
      </c>
      <c r="N109" s="239">
        <v>190523</v>
      </c>
      <c r="O109" s="239">
        <v>184318</v>
      </c>
    </row>
    <row r="110" spans="1:15" ht="15" customHeight="1" x14ac:dyDescent="0.15">
      <c r="A110" s="236">
        <v>4001</v>
      </c>
      <c r="B110" s="244"/>
      <c r="C110" s="238" t="s">
        <v>340</v>
      </c>
      <c r="D110" s="245"/>
      <c r="E110" s="239">
        <v>215411</v>
      </c>
      <c r="F110" s="240">
        <f t="shared" si="1"/>
        <v>215411</v>
      </c>
      <c r="G110" s="236">
        <v>4001</v>
      </c>
      <c r="H110" s="241"/>
      <c r="I110" s="224"/>
      <c r="J110" s="224"/>
      <c r="K110" s="224"/>
      <c r="L110" s="224"/>
      <c r="M110" s="239">
        <v>205068</v>
      </c>
      <c r="N110" s="239">
        <v>205807</v>
      </c>
      <c r="O110" s="239">
        <v>201150</v>
      </c>
    </row>
    <row r="111" spans="1:15" ht="15" customHeight="1" x14ac:dyDescent="0.15">
      <c r="A111" s="236">
        <v>4002</v>
      </c>
      <c r="B111" s="244"/>
      <c r="C111" s="238" t="s">
        <v>341</v>
      </c>
      <c r="D111" s="245"/>
      <c r="E111" s="239">
        <v>202847</v>
      </c>
      <c r="F111" s="240">
        <f t="shared" si="1"/>
        <v>202847</v>
      </c>
      <c r="G111" s="236">
        <v>4002</v>
      </c>
      <c r="H111" s="241"/>
      <c r="I111" s="224"/>
      <c r="J111" s="224"/>
      <c r="K111" s="224"/>
      <c r="L111" s="224"/>
      <c r="M111" s="239">
        <v>201816</v>
      </c>
      <c r="N111" s="239">
        <v>196167</v>
      </c>
      <c r="O111" s="239">
        <v>208389</v>
      </c>
    </row>
    <row r="112" spans="1:15" ht="15" customHeight="1" x14ac:dyDescent="0.15">
      <c r="A112" s="236">
        <v>4003</v>
      </c>
      <c r="B112" s="244"/>
      <c r="C112" s="238" t="s">
        <v>342</v>
      </c>
      <c r="D112" s="248"/>
      <c r="E112" s="239">
        <v>210518</v>
      </c>
      <c r="F112" s="240">
        <f t="shared" si="1"/>
        <v>210518</v>
      </c>
      <c r="G112" s="236">
        <v>4003</v>
      </c>
      <c r="H112" s="247"/>
      <c r="I112" s="224"/>
      <c r="J112" s="224"/>
      <c r="K112" s="224"/>
      <c r="L112" s="224"/>
      <c r="M112" s="239">
        <v>202174</v>
      </c>
      <c r="N112" s="239">
        <v>187724</v>
      </c>
      <c r="O112" s="239">
        <v>201619</v>
      </c>
    </row>
    <row r="113" spans="1:15" ht="15" customHeight="1" x14ac:dyDescent="0.15">
      <c r="A113" s="236">
        <v>4004</v>
      </c>
      <c r="B113" s="244"/>
      <c r="C113" s="238" t="s">
        <v>343</v>
      </c>
      <c r="D113" s="248"/>
      <c r="E113" s="239">
        <v>260445</v>
      </c>
      <c r="F113" s="240">
        <f t="shared" si="1"/>
        <v>260445</v>
      </c>
      <c r="G113" s="236">
        <v>4004</v>
      </c>
      <c r="H113" s="247"/>
      <c r="I113" s="224"/>
      <c r="J113" s="224"/>
      <c r="K113" s="224"/>
      <c r="L113" s="224"/>
      <c r="M113" s="239">
        <v>256484</v>
      </c>
      <c r="N113" s="239">
        <v>247738</v>
      </c>
      <c r="O113" s="239">
        <v>233836</v>
      </c>
    </row>
    <row r="114" spans="1:15" ht="15" customHeight="1" x14ac:dyDescent="0.15">
      <c r="A114" s="236">
        <v>5001</v>
      </c>
      <c r="B114" s="244"/>
      <c r="C114" s="238" t="s">
        <v>1143</v>
      </c>
      <c r="D114" s="245"/>
      <c r="E114" s="239">
        <v>224214</v>
      </c>
      <c r="F114" s="240">
        <f t="shared" si="1"/>
        <v>224214</v>
      </c>
      <c r="G114" s="236">
        <v>5001</v>
      </c>
      <c r="H114" s="241"/>
      <c r="I114" s="224"/>
      <c r="J114" s="224"/>
      <c r="K114" s="224"/>
      <c r="L114" s="224"/>
      <c r="M114" s="239">
        <v>208604</v>
      </c>
      <c r="N114" s="239">
        <v>203680</v>
      </c>
      <c r="O114" s="239">
        <v>196575</v>
      </c>
    </row>
    <row r="115" spans="1:15" ht="15" customHeight="1" x14ac:dyDescent="0.15">
      <c r="A115" s="236">
        <v>5002</v>
      </c>
      <c r="B115" s="242"/>
      <c r="C115" s="238" t="s">
        <v>1144</v>
      </c>
      <c r="D115" s="243"/>
      <c r="E115" s="239">
        <v>203601</v>
      </c>
      <c r="F115" s="240">
        <f t="shared" si="1"/>
        <v>203601</v>
      </c>
      <c r="G115" s="236">
        <v>5002</v>
      </c>
      <c r="H115" s="241"/>
      <c r="I115" s="224"/>
      <c r="J115" s="224"/>
      <c r="K115" s="224"/>
      <c r="L115" s="224"/>
      <c r="M115" s="239">
        <v>190556</v>
      </c>
      <c r="N115" s="239">
        <v>183684</v>
      </c>
      <c r="O115" s="239">
        <v>174836</v>
      </c>
    </row>
    <row r="116" spans="1:15" ht="15" customHeight="1" x14ac:dyDescent="0.15">
      <c r="A116" s="236">
        <v>5003</v>
      </c>
      <c r="B116" s="244"/>
      <c r="C116" s="238" t="s">
        <v>1145</v>
      </c>
      <c r="D116" s="245"/>
      <c r="E116" s="239">
        <v>179968</v>
      </c>
      <c r="F116" s="240">
        <f t="shared" si="1"/>
        <v>179968</v>
      </c>
      <c r="G116" s="236">
        <v>5003</v>
      </c>
      <c r="H116" s="241"/>
      <c r="I116" s="224"/>
      <c r="J116" s="224"/>
      <c r="K116" s="224"/>
      <c r="L116" s="224"/>
      <c r="M116" s="239">
        <v>168459</v>
      </c>
      <c r="N116" s="239">
        <v>161950</v>
      </c>
      <c r="O116" s="239">
        <v>152766</v>
      </c>
    </row>
    <row r="117" spans="1:15" ht="15" customHeight="1" x14ac:dyDescent="0.15">
      <c r="A117" s="236">
        <v>5004</v>
      </c>
      <c r="B117" s="244"/>
      <c r="C117" s="238" t="s">
        <v>1146</v>
      </c>
      <c r="D117" s="245"/>
      <c r="E117" s="239">
        <v>205010</v>
      </c>
      <c r="F117" s="240">
        <f t="shared" si="1"/>
        <v>205010</v>
      </c>
      <c r="G117" s="236">
        <v>5004</v>
      </c>
      <c r="H117" s="241"/>
      <c r="I117" s="224"/>
      <c r="J117" s="224"/>
      <c r="K117" s="224"/>
      <c r="L117" s="224"/>
      <c r="M117" s="239">
        <v>189482</v>
      </c>
      <c r="N117" s="239">
        <v>173285</v>
      </c>
      <c r="O117" s="239">
        <v>164207</v>
      </c>
    </row>
    <row r="118" spans="1:15" ht="15" customHeight="1" x14ac:dyDescent="0.15">
      <c r="A118" s="236">
        <v>5005</v>
      </c>
      <c r="B118" s="244"/>
      <c r="C118" s="238" t="s">
        <v>1147</v>
      </c>
      <c r="D118" s="245"/>
      <c r="E118" s="239">
        <v>179744</v>
      </c>
      <c r="F118" s="240">
        <f t="shared" si="1"/>
        <v>179744</v>
      </c>
      <c r="G118" s="236">
        <v>5005</v>
      </c>
      <c r="H118" s="241"/>
      <c r="I118" s="224"/>
      <c r="J118" s="224"/>
      <c r="K118" s="224"/>
      <c r="L118" s="224"/>
      <c r="M118" s="239">
        <v>164000</v>
      </c>
      <c r="N118" s="239">
        <v>151967</v>
      </c>
      <c r="O118" s="239">
        <v>141478</v>
      </c>
    </row>
    <row r="119" spans="1:15" ht="15" customHeight="1" x14ac:dyDescent="0.15">
      <c r="A119" s="236">
        <v>5006</v>
      </c>
      <c r="B119" s="244"/>
      <c r="C119" s="238" t="s">
        <v>344</v>
      </c>
      <c r="D119" s="245"/>
      <c r="E119" s="239">
        <v>269720</v>
      </c>
      <c r="F119" s="240">
        <f t="shared" si="1"/>
        <v>269720</v>
      </c>
      <c r="G119" s="236">
        <v>5006</v>
      </c>
      <c r="H119" s="241"/>
      <c r="I119" s="224"/>
      <c r="J119" s="224"/>
      <c r="K119" s="224"/>
      <c r="L119" s="224"/>
      <c r="M119" s="239">
        <v>244383</v>
      </c>
      <c r="N119" s="239">
        <v>229801</v>
      </c>
      <c r="O119" s="239">
        <v>219634</v>
      </c>
    </row>
    <row r="120" spans="1:15" ht="15" customHeight="1" x14ac:dyDescent="0.15">
      <c r="A120" s="236">
        <v>5007</v>
      </c>
      <c r="B120" s="244"/>
      <c r="C120" s="238" t="s">
        <v>345</v>
      </c>
      <c r="D120" s="245"/>
      <c r="E120" s="239">
        <v>142317</v>
      </c>
      <c r="F120" s="240">
        <f t="shared" si="1"/>
        <v>142317</v>
      </c>
      <c r="G120" s="236">
        <v>5007</v>
      </c>
      <c r="H120" s="241"/>
      <c r="I120" s="224"/>
      <c r="J120" s="224"/>
      <c r="K120" s="224"/>
      <c r="L120" s="224"/>
      <c r="M120" s="239">
        <v>129804</v>
      </c>
      <c r="N120" s="239">
        <v>122525</v>
      </c>
      <c r="O120" s="239">
        <v>118066</v>
      </c>
    </row>
    <row r="121" spans="1:15" ht="15" customHeight="1" x14ac:dyDescent="0.15">
      <c r="A121" s="236"/>
      <c r="B121" s="244"/>
      <c r="C121" s="238"/>
      <c r="D121" s="245"/>
      <c r="E121" s="239"/>
      <c r="F121" s="240"/>
      <c r="G121" s="236"/>
      <c r="H121" s="241"/>
      <c r="I121" s="224"/>
      <c r="J121" s="224"/>
      <c r="K121" s="224"/>
      <c r="L121" s="224"/>
      <c r="M121" s="239"/>
      <c r="N121" s="239"/>
      <c r="O121" s="239"/>
    </row>
    <row r="122" spans="1:15" ht="15" customHeight="1" x14ac:dyDescent="0.15">
      <c r="A122" s="236"/>
      <c r="B122" s="244"/>
      <c r="C122" s="238"/>
      <c r="D122" s="245"/>
      <c r="E122" s="239"/>
      <c r="F122" s="240"/>
      <c r="G122" s="236"/>
      <c r="H122" s="241"/>
      <c r="I122" s="224"/>
      <c r="J122" s="224"/>
      <c r="K122" s="224"/>
      <c r="L122" s="224"/>
      <c r="M122" s="239"/>
      <c r="N122" s="239"/>
      <c r="O122" s="239"/>
    </row>
    <row r="123" spans="1:15" ht="15" customHeight="1" x14ac:dyDescent="0.15">
      <c r="A123" s="236"/>
      <c r="B123" s="244"/>
      <c r="C123" s="238"/>
      <c r="D123" s="245"/>
      <c r="E123" s="239"/>
      <c r="F123" s="240"/>
      <c r="G123" s="236"/>
      <c r="H123" s="241"/>
      <c r="I123" s="224"/>
      <c r="J123" s="224"/>
      <c r="K123" s="224"/>
      <c r="L123" s="224"/>
      <c r="M123" s="239"/>
      <c r="N123" s="239"/>
      <c r="O123" s="239"/>
    </row>
    <row r="124" spans="1:15" ht="15" customHeight="1" x14ac:dyDescent="0.15">
      <c r="A124" s="236"/>
      <c r="B124" s="244"/>
      <c r="C124" s="238"/>
      <c r="D124" s="245"/>
      <c r="E124" s="239"/>
      <c r="F124" s="240"/>
      <c r="G124" s="236"/>
      <c r="H124" s="241"/>
      <c r="I124" s="224"/>
      <c r="J124" s="224"/>
      <c r="K124" s="224"/>
      <c r="L124" s="224"/>
      <c r="M124" s="239"/>
      <c r="N124" s="239"/>
      <c r="O124" s="239"/>
    </row>
    <row r="125" spans="1:15" ht="15" customHeight="1" x14ac:dyDescent="0.15">
      <c r="A125" s="236"/>
      <c r="B125" s="244"/>
      <c r="C125" s="238"/>
      <c r="D125" s="245"/>
      <c r="E125" s="239"/>
      <c r="F125" s="240"/>
      <c r="G125" s="236"/>
      <c r="H125" s="241"/>
      <c r="I125" s="224"/>
      <c r="J125" s="224"/>
      <c r="K125" s="224"/>
      <c r="L125" s="224"/>
      <c r="M125" s="239"/>
      <c r="N125" s="239"/>
      <c r="O125" s="239"/>
    </row>
    <row r="126" spans="1:15" ht="15" customHeight="1" x14ac:dyDescent="0.15">
      <c r="A126" s="236"/>
      <c r="B126" s="244"/>
      <c r="C126" s="238"/>
      <c r="D126" s="245"/>
      <c r="E126" s="239"/>
      <c r="F126" s="240"/>
      <c r="G126" s="236"/>
      <c r="H126" s="241"/>
      <c r="I126" s="224"/>
      <c r="J126" s="224"/>
      <c r="K126" s="224"/>
      <c r="L126" s="224"/>
      <c r="M126" s="239"/>
      <c r="N126" s="239"/>
      <c r="O126" s="239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8"/>
  <sheetViews>
    <sheetView workbookViewId="0"/>
  </sheetViews>
  <sheetFormatPr defaultRowHeight="12" x14ac:dyDescent="0.15"/>
  <cols>
    <col min="1" max="1" width="2.7109375" style="3" customWidth="1"/>
    <col min="2" max="2" width="21.5703125" style="3" customWidth="1"/>
    <col min="3" max="3" width="2.28515625" style="3" customWidth="1"/>
    <col min="4" max="4" width="1.7109375" style="3" customWidth="1"/>
    <col min="5" max="5" width="31.140625" style="3" customWidth="1"/>
    <col min="6" max="6" width="1.7109375" style="3" customWidth="1"/>
    <col min="7" max="7" width="11.140625" style="3" customWidth="1"/>
    <col min="8" max="8" width="1.42578125" style="3" customWidth="1"/>
    <col min="9" max="9" width="11.140625" style="3" customWidth="1"/>
    <col min="10" max="10" width="9.85546875" style="3" customWidth="1"/>
    <col min="11" max="16384" width="9.140625" style="3"/>
  </cols>
  <sheetData>
    <row r="1" spans="1:10" ht="20.100000000000001" customHeight="1" x14ac:dyDescent="0.15">
      <c r="A1" s="249" t="s">
        <v>423</v>
      </c>
    </row>
    <row r="2" spans="1:10" ht="39.950000000000003" customHeight="1" x14ac:dyDescent="0.15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0.100000000000001" customHeight="1" x14ac:dyDescent="0.15"/>
    <row r="5" spans="1:10" ht="50.1" customHeight="1" x14ac:dyDescent="0.15">
      <c r="A5" s="289" t="s">
        <v>232</v>
      </c>
      <c r="B5" s="339"/>
      <c r="C5" s="339"/>
      <c r="D5" s="339"/>
      <c r="E5" s="339"/>
      <c r="F5" s="290"/>
      <c r="G5" s="289" t="s">
        <v>172</v>
      </c>
      <c r="H5" s="290"/>
      <c r="I5" s="291" t="s">
        <v>10</v>
      </c>
      <c r="J5" s="291" t="s">
        <v>17</v>
      </c>
    </row>
    <row r="6" spans="1:10" ht="27.95" customHeight="1" x14ac:dyDescent="0.15">
      <c r="A6" s="59"/>
      <c r="B6" s="932" t="s">
        <v>714</v>
      </c>
      <c r="C6" s="366"/>
      <c r="D6" s="367"/>
      <c r="E6" s="54"/>
      <c r="F6" s="221"/>
      <c r="G6" s="220" t="s">
        <v>7</v>
      </c>
      <c r="H6" s="221"/>
      <c r="I6" s="57" t="s">
        <v>13</v>
      </c>
      <c r="J6" s="368"/>
    </row>
    <row r="7" spans="1:10" ht="27.95" customHeight="1" x14ac:dyDescent="0.15">
      <c r="A7" s="59"/>
      <c r="B7" s="932"/>
      <c r="C7" s="366"/>
      <c r="D7" s="369"/>
      <c r="E7" s="60" t="s">
        <v>715</v>
      </c>
      <c r="F7" s="58"/>
      <c r="G7" s="370">
        <v>14.5</v>
      </c>
      <c r="H7" s="371"/>
      <c r="I7" s="372">
        <v>14.5</v>
      </c>
      <c r="J7" s="319"/>
    </row>
    <row r="8" spans="1:10" ht="27.95" customHeight="1" x14ac:dyDescent="0.15">
      <c r="A8" s="59"/>
      <c r="B8" s="932"/>
      <c r="C8" s="366"/>
      <c r="D8" s="369"/>
      <c r="E8" s="60" t="s">
        <v>11</v>
      </c>
      <c r="F8" s="58"/>
      <c r="G8" s="370">
        <v>15</v>
      </c>
      <c r="H8" s="371"/>
      <c r="I8" s="372"/>
      <c r="J8" s="319"/>
    </row>
    <row r="9" spans="1:10" ht="27.95" customHeight="1" x14ac:dyDescent="0.15">
      <c r="A9" s="59"/>
      <c r="B9" s="932"/>
      <c r="C9" s="366"/>
      <c r="D9" s="369"/>
      <c r="E9" s="60" t="s">
        <v>716</v>
      </c>
      <c r="F9" s="58"/>
      <c r="G9" s="370">
        <v>15.5</v>
      </c>
      <c r="H9" s="371"/>
      <c r="I9" s="372"/>
      <c r="J9" s="319"/>
    </row>
    <row r="10" spans="1:10" ht="27.95" customHeight="1" x14ac:dyDescent="0.15">
      <c r="A10" s="63"/>
      <c r="B10" s="933"/>
      <c r="C10" s="373"/>
      <c r="D10" s="374"/>
      <c r="E10" s="64" t="s">
        <v>12</v>
      </c>
      <c r="F10" s="65"/>
      <c r="G10" s="375">
        <v>15</v>
      </c>
      <c r="H10" s="376"/>
      <c r="I10" s="377"/>
      <c r="J10" s="319"/>
    </row>
    <row r="11" spans="1:10" ht="27.95" customHeight="1" x14ac:dyDescent="0.15">
      <c r="A11" s="53"/>
      <c r="B11" s="934" t="s">
        <v>14</v>
      </c>
      <c r="C11" s="378"/>
      <c r="D11" s="367"/>
      <c r="E11" s="54" t="s">
        <v>15</v>
      </c>
      <c r="F11" s="55"/>
      <c r="G11" s="379">
        <v>14</v>
      </c>
      <c r="H11" s="380"/>
      <c r="I11" s="381"/>
      <c r="J11" s="319"/>
    </row>
    <row r="12" spans="1:10" ht="27.95" customHeight="1" x14ac:dyDescent="0.15">
      <c r="A12" s="59"/>
      <c r="B12" s="932"/>
      <c r="C12" s="366"/>
      <c r="D12" s="369"/>
      <c r="E12" s="60" t="s">
        <v>16</v>
      </c>
      <c r="F12" s="58"/>
      <c r="G12" s="370">
        <v>15</v>
      </c>
      <c r="H12" s="371"/>
      <c r="I12" s="382">
        <v>15</v>
      </c>
      <c r="J12" s="319"/>
    </row>
    <row r="13" spans="1:10" ht="27.95" customHeight="1" x14ac:dyDescent="0.15">
      <c r="A13" s="63"/>
      <c r="B13" s="933"/>
      <c r="C13" s="373"/>
      <c r="D13" s="374"/>
      <c r="E13" s="64" t="s">
        <v>717</v>
      </c>
      <c r="F13" s="65"/>
      <c r="G13" s="375">
        <v>16</v>
      </c>
      <c r="H13" s="376"/>
      <c r="I13" s="377"/>
      <c r="J13" s="319"/>
    </row>
    <row r="14" spans="1:10" ht="27.95" customHeight="1" x14ac:dyDescent="0.15">
      <c r="A14" s="53"/>
      <c r="B14" s="934" t="s">
        <v>718</v>
      </c>
      <c r="C14" s="378"/>
      <c r="D14" s="367"/>
      <c r="E14" s="54" t="s">
        <v>719</v>
      </c>
      <c r="F14" s="55"/>
      <c r="G14" s="379">
        <v>13</v>
      </c>
      <c r="H14" s="380"/>
      <c r="I14" s="381"/>
      <c r="J14" s="319"/>
    </row>
    <row r="15" spans="1:10" ht="27.95" customHeight="1" x14ac:dyDescent="0.15">
      <c r="A15" s="59"/>
      <c r="B15" s="932"/>
      <c r="C15" s="366"/>
      <c r="D15" s="369"/>
      <c r="E15" s="60" t="s">
        <v>720</v>
      </c>
      <c r="F15" s="58"/>
      <c r="G15" s="370">
        <v>15</v>
      </c>
      <c r="H15" s="371"/>
      <c r="I15" s="372"/>
      <c r="J15" s="319"/>
    </row>
    <row r="16" spans="1:10" ht="27.95" customHeight="1" x14ac:dyDescent="0.15">
      <c r="A16" s="63"/>
      <c r="B16" s="933"/>
      <c r="C16" s="373"/>
      <c r="D16" s="374"/>
      <c r="E16" s="64" t="s">
        <v>721</v>
      </c>
      <c r="F16" s="65"/>
      <c r="G16" s="375">
        <v>17</v>
      </c>
      <c r="H16" s="376"/>
      <c r="I16" s="377">
        <v>17</v>
      </c>
      <c r="J16" s="336"/>
    </row>
    <row r="17" spans="1:10" ht="39.950000000000003" customHeight="1" x14ac:dyDescent="0.15">
      <c r="A17" s="323"/>
      <c r="B17" s="263" t="s">
        <v>722</v>
      </c>
      <c r="C17" s="383"/>
      <c r="D17" s="384"/>
      <c r="E17" s="263"/>
      <c r="F17" s="252"/>
      <c r="G17" s="385"/>
      <c r="H17" s="386"/>
      <c r="I17" s="109">
        <f>TRUNC(AVERAGE(I7:I16),2)</f>
        <v>15.5</v>
      </c>
      <c r="J17" s="325"/>
    </row>
    <row r="18" spans="1:10" ht="39.950000000000003" customHeight="1" x14ac:dyDescent="0.15">
      <c r="A18" s="323"/>
      <c r="B18" s="123" t="s">
        <v>429</v>
      </c>
      <c r="C18" s="124"/>
      <c r="D18" s="125"/>
      <c r="E18" s="123"/>
      <c r="F18" s="126"/>
      <c r="G18" s="127"/>
      <c r="H18" s="128"/>
      <c r="I18" s="109">
        <v>8.1</v>
      </c>
      <c r="J18" s="325"/>
    </row>
    <row r="19" spans="1:10" ht="39.950000000000003" customHeight="1" x14ac:dyDescent="0.15">
      <c r="A19" s="63"/>
      <c r="B19" s="64" t="s">
        <v>189</v>
      </c>
      <c r="C19" s="373"/>
      <c r="D19" s="384"/>
      <c r="E19" s="263"/>
      <c r="F19" s="252"/>
      <c r="G19" s="385"/>
      <c r="H19" s="386"/>
      <c r="I19" s="358">
        <f>MIN(I17:I18)</f>
        <v>8.1</v>
      </c>
      <c r="J19" s="325"/>
    </row>
    <row r="20" spans="1:10" ht="20.100000000000001" customHeight="1" x14ac:dyDescent="0.15">
      <c r="A20" s="3" t="s">
        <v>568</v>
      </c>
      <c r="B20" s="387"/>
    </row>
    <row r="21" spans="1:10" ht="20.100000000000001" customHeight="1" x14ac:dyDescent="0.15">
      <c r="A21" s="3" t="s">
        <v>569</v>
      </c>
      <c r="B21" s="288"/>
    </row>
    <row r="22" spans="1:10" ht="20.100000000000001" customHeight="1" x14ac:dyDescent="0.15">
      <c r="A22" s="3" t="s">
        <v>230</v>
      </c>
      <c r="B22" s="338"/>
    </row>
    <row r="23" spans="1:10" ht="20.100000000000001" customHeight="1" x14ac:dyDescent="0.15">
      <c r="B23" s="338"/>
    </row>
    <row r="24" spans="1:10" ht="20.100000000000001" customHeight="1" x14ac:dyDescent="0.15">
      <c r="B24" s="338"/>
    </row>
    <row r="25" spans="1:10" ht="20.100000000000001" customHeight="1" x14ac:dyDescent="0.15">
      <c r="B25" s="338"/>
    </row>
    <row r="26" spans="1:10" ht="20.100000000000001" customHeight="1" x14ac:dyDescent="0.15">
      <c r="B26" s="338"/>
    </row>
    <row r="27" spans="1:10" ht="20.100000000000001" customHeight="1" x14ac:dyDescent="0.15">
      <c r="B27" s="338"/>
    </row>
    <row r="28" spans="1:10" ht="20.100000000000001" customHeight="1" x14ac:dyDescent="0.15">
      <c r="B28" s="338"/>
    </row>
    <row r="29" spans="1:10" ht="20.100000000000001" customHeight="1" x14ac:dyDescent="0.15"/>
    <row r="30" spans="1:10" ht="20.100000000000001" customHeight="1" x14ac:dyDescent="0.15"/>
    <row r="31" spans="1:10" ht="20.100000000000001" customHeight="1" x14ac:dyDescent="0.15"/>
    <row r="32" spans="1:10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</sheetData>
  <mergeCells count="3">
    <mergeCell ref="B6:B10"/>
    <mergeCell ref="B11:B13"/>
    <mergeCell ref="B14:B1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26</vt:i4>
      </vt:variant>
      <vt:variant>
        <vt:lpstr>이름이 지정된 범위</vt:lpstr>
      </vt:variant>
      <vt:variant>
        <vt:i4>25</vt:i4>
      </vt:variant>
    </vt:vector>
  </HeadingPairs>
  <TitlesOfParts>
    <vt:vector size="51" baseType="lpstr">
      <vt:lpstr>원가</vt:lpstr>
      <vt:lpstr>집계</vt:lpstr>
      <vt:lpstr>내역</vt:lpstr>
      <vt:lpstr>수량</vt:lpstr>
      <vt:lpstr>목록</vt:lpstr>
      <vt:lpstr>일위</vt:lpstr>
      <vt:lpstr>단가</vt:lpstr>
      <vt:lpstr>노임</vt:lpstr>
      <vt:lpstr>간노율</vt:lpstr>
      <vt:lpstr>경비</vt:lpstr>
      <vt:lpstr>경배</vt:lpstr>
      <vt:lpstr>완성</vt:lpstr>
      <vt:lpstr>산재</vt:lpstr>
      <vt:lpstr>산재율</vt:lpstr>
      <vt:lpstr>고용</vt:lpstr>
      <vt:lpstr>건강</vt:lpstr>
      <vt:lpstr>연금</vt:lpstr>
      <vt:lpstr>노인</vt:lpstr>
      <vt:lpstr>퇴직</vt:lpstr>
      <vt:lpstr>안전</vt:lpstr>
      <vt:lpstr>안전비율</vt:lpstr>
      <vt:lpstr>환경</vt:lpstr>
      <vt:lpstr>일반</vt:lpstr>
      <vt:lpstr>일반율</vt:lpstr>
      <vt:lpstr>이윤</vt:lpstr>
      <vt:lpstr>이윤율</vt:lpstr>
      <vt:lpstr>간노율!Print_Area</vt:lpstr>
      <vt:lpstr>경배!Print_Area</vt:lpstr>
      <vt:lpstr>내역!Print_Area</vt:lpstr>
      <vt:lpstr>노임!Print_Area</vt:lpstr>
      <vt:lpstr>단가!Print_Area</vt:lpstr>
      <vt:lpstr>목록!Print_Area</vt:lpstr>
      <vt:lpstr>수량!Print_Area</vt:lpstr>
      <vt:lpstr>안전!Print_Area</vt:lpstr>
      <vt:lpstr>안전비율!Print_Area</vt:lpstr>
      <vt:lpstr>원가!Print_Area</vt:lpstr>
      <vt:lpstr>이윤!Print_Area</vt:lpstr>
      <vt:lpstr>이윤율!Print_Area</vt:lpstr>
      <vt:lpstr>일반!Print_Area</vt:lpstr>
      <vt:lpstr>일반율!Print_Area</vt:lpstr>
      <vt:lpstr>일위!Print_Area</vt:lpstr>
      <vt:lpstr>집계!Print_Area</vt:lpstr>
      <vt:lpstr>환경!Print_Area</vt:lpstr>
      <vt:lpstr>내역!Print_Titles</vt:lpstr>
      <vt:lpstr>노임!Print_Titles</vt:lpstr>
      <vt:lpstr>단가!Print_Titles</vt:lpstr>
      <vt:lpstr>목록!Print_Titles</vt:lpstr>
      <vt:lpstr>수량!Print_Titles</vt:lpstr>
      <vt:lpstr>완성!Print_Titles</vt:lpstr>
      <vt:lpstr>일위!Print_Titles</vt:lpstr>
      <vt:lpstr>집계!Print_Titles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김빠진 콜라</dc:creator>
  <cp:lastModifiedBy>최원영-pc</cp:lastModifiedBy>
  <cp:lastPrinted>2017-10-22T01:47:29Z</cp:lastPrinted>
  <dcterms:created xsi:type="dcterms:W3CDTF">2014-12-18T00:42:27Z</dcterms:created>
  <dcterms:modified xsi:type="dcterms:W3CDTF">2017-10-23T00:09:36Z</dcterms:modified>
</cp:coreProperties>
</file>