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240" yWindow="105" windowWidth="14805" windowHeight="8010" tabRatio="884"/>
  </bookViews>
  <sheets>
    <sheet name="목차" sheetId="45" r:id="rId1"/>
    <sheet name="본문" sheetId="5" r:id="rId2"/>
    <sheet name="개요" sheetId="6" r:id="rId3"/>
    <sheet name="기준" sheetId="7" r:id="rId4"/>
    <sheet name="내용" sheetId="8" r:id="rId5"/>
    <sheet name="원간" sheetId="9" r:id="rId6"/>
    <sheet name="원가" sheetId="1" r:id="rId7"/>
    <sheet name="집계표" sheetId="44" r:id="rId8"/>
    <sheet name="노간" sheetId="12" r:id="rId9"/>
    <sheet name="노기" sheetId="13" r:id="rId10"/>
    <sheet name="근로형태" sheetId="17" r:id="rId11"/>
    <sheet name="근로산식" sheetId="18" r:id="rId12"/>
    <sheet name="근로시간" sheetId="19" r:id="rId13"/>
    <sheet name="인집" sheetId="20" r:id="rId14"/>
    <sheet name="기본급" sheetId="21" r:id="rId15"/>
    <sheet name="상여금" sheetId="22" r:id="rId16"/>
    <sheet name="제수당" sheetId="23" r:id="rId17"/>
    <sheet name="연차" sheetId="24" r:id="rId18"/>
    <sheet name="퇴직금" sheetId="25" r:id="rId19"/>
    <sheet name="노임" sheetId="26" r:id="rId20"/>
    <sheet name="통상임금" sheetId="27" r:id="rId21"/>
    <sheet name="경간" sheetId="28" r:id="rId22"/>
    <sheet name="경기" sheetId="29" r:id="rId23"/>
    <sheet name="경집" sheetId="30" r:id="rId24"/>
    <sheet name="보험집" sheetId="39" r:id="rId25"/>
    <sheet name="산재" sheetId="32" r:id="rId26"/>
    <sheet name="건강" sheetId="33" r:id="rId27"/>
    <sheet name="노인" sheetId="34" r:id="rId28"/>
    <sheet name="연금" sheetId="35" r:id="rId29"/>
    <sheet name="고용" sheetId="36" r:id="rId30"/>
    <sheet name="임채" sheetId="37" r:id="rId31"/>
    <sheet name="석면" sheetId="38" state="hidden" r:id="rId32"/>
    <sheet name="참간" sheetId="10" r:id="rId33"/>
    <sheet name="가" sheetId="11" state="hidden" r:id="rId34"/>
    <sheet name="세" sheetId="4" state="hidden" r:id="rId35"/>
  </sheets>
  <definedNames>
    <definedName name="_xlnm.Print_Area" localSheetId="33">가!$A$1:$H$4</definedName>
    <definedName name="_xlnm.Print_Area" localSheetId="26">건강!$A$1:$G$19</definedName>
    <definedName name="_xlnm.Print_Area" localSheetId="22">경기!$A$1:$A$14</definedName>
    <definedName name="_xlnm.Print_Area" localSheetId="23">경집!$A$1:$E$14</definedName>
    <definedName name="_xlnm.Print_Area" localSheetId="29">고용!$A$1:$G$19</definedName>
    <definedName name="_xlnm.Print_Area" localSheetId="14">기본급!$A$1:$F$18</definedName>
    <definedName name="_xlnm.Print_Area" localSheetId="3">기준!$A$1:$A$21</definedName>
    <definedName name="_xlnm.Print_Area" localSheetId="27">노인!$A$1:$G$19</definedName>
    <definedName name="_xlnm.Print_Area" localSheetId="19">노임!$A$1:$E$27</definedName>
    <definedName name="_xlnm.Print_Area" localSheetId="25">산재!$A$1:$G$19</definedName>
    <definedName name="_xlnm.Print_Area" localSheetId="15">상여금!$A$1:$F$18</definedName>
    <definedName name="_xlnm.Print_Area" localSheetId="31">석면!$A$1:$G$14</definedName>
    <definedName name="_xlnm.Print_Area" localSheetId="28">연금!$A$1:$G$19</definedName>
    <definedName name="_xlnm.Print_Area" localSheetId="17">연차!$A$1:$F$13</definedName>
    <definedName name="_xlnm.Print_Area" localSheetId="6">원가!$A$1:$H$30</definedName>
    <definedName name="_xlnm.Print_Area" localSheetId="30">임채!$A$1:$G$19</definedName>
    <definedName name="_xlnm.Print_Area" localSheetId="16">제수당!$A$1:$G$65</definedName>
    <definedName name="_xlnm.Print_Area" localSheetId="7">집계표!$A$1:$H$39</definedName>
    <definedName name="_xlnm.Print_Area" localSheetId="20">통상임금!$A$1:$H$26</definedName>
    <definedName name="_xlnm.Print_Area" localSheetId="18">퇴직금!$A$1:$G$20</definedName>
    <definedName name="_xlnm.Print_Titles" localSheetId="26">건강!$3:$5</definedName>
    <definedName name="_xlnm.Print_Titles" localSheetId="29">고용!$3:$5</definedName>
    <definedName name="_xlnm.Print_Titles" localSheetId="11">근로산식!$3:$5</definedName>
    <definedName name="_xlnm.Print_Titles" localSheetId="12">근로시간!$3:$5</definedName>
    <definedName name="_xlnm.Print_Titles" localSheetId="10">근로형태!$3:$4</definedName>
    <definedName name="_xlnm.Print_Titles" localSheetId="14">기본급!$3:$4</definedName>
    <definedName name="_xlnm.Print_Titles" localSheetId="27">노인!$3:$5</definedName>
    <definedName name="_xlnm.Print_Titles" localSheetId="19">노임!$3:$4</definedName>
    <definedName name="_xlnm.Print_Titles" localSheetId="24">보험집!$3:$5</definedName>
    <definedName name="_xlnm.Print_Titles" localSheetId="25">산재!$3:$5</definedName>
    <definedName name="_xlnm.Print_Titles" localSheetId="15">상여금!$3:$4</definedName>
    <definedName name="_xlnm.Print_Titles" localSheetId="31">석면!$3:$5</definedName>
    <definedName name="_xlnm.Print_Titles" localSheetId="28">연금!$3:$5</definedName>
    <definedName name="_xlnm.Print_Titles" localSheetId="17">연차!$3:$4</definedName>
    <definedName name="_xlnm.Print_Titles" localSheetId="13">인집!$3:$5</definedName>
    <definedName name="_xlnm.Print_Titles" localSheetId="30">임채!$3:$5</definedName>
    <definedName name="_xlnm.Print_Titles" localSheetId="16">제수당!$3:$4</definedName>
    <definedName name="_xlnm.Print_Titles" localSheetId="7">집계표!$3:$3</definedName>
    <definedName name="_xlnm.Print_Titles" localSheetId="20">통상임금!$3:$4</definedName>
    <definedName name="_xlnm.Print_Titles" localSheetId="18">퇴직금!$3:$5</definedName>
    <definedName name="노임">노임!$A$5:$E$13</definedName>
  </definedNames>
  <calcPr calcId="125725"/>
</workbook>
</file>

<file path=xl/calcChain.xml><?xml version="1.0" encoding="utf-8"?>
<calcChain xmlns="http://schemas.openxmlformats.org/spreadsheetml/2006/main">
  <c r="G12" i="26"/>
  <c r="G10"/>
  <c r="G11"/>
  <c r="G9"/>
  <c r="G8"/>
  <c r="D46" i="23" l="1"/>
  <c r="D41"/>
  <c r="E14" i="19"/>
  <c r="E13"/>
  <c r="C13" i="21"/>
  <c r="C12"/>
  <c r="H16" i="19"/>
  <c r="I16" s="1"/>
  <c r="E16"/>
  <c r="D36" i="23" l="1"/>
  <c r="D26"/>
  <c r="D21"/>
  <c r="D11"/>
  <c r="D16"/>
  <c r="E45"/>
  <c r="E48" s="1"/>
  <c r="E40"/>
  <c r="E41" s="1"/>
  <c r="E35"/>
  <c r="E36" s="1"/>
  <c r="A45"/>
  <c r="G47"/>
  <c r="A40"/>
  <c r="G42"/>
  <c r="A35"/>
  <c r="G38"/>
  <c r="G37"/>
  <c r="E30"/>
  <c r="D30"/>
  <c r="D25"/>
  <c r="A30"/>
  <c r="A25"/>
  <c r="G33"/>
  <c r="G32"/>
  <c r="E25"/>
  <c r="E26" s="1"/>
  <c r="G28"/>
  <c r="G27"/>
  <c r="C14" i="39"/>
  <c r="O14" s="1"/>
  <c r="C13"/>
  <c r="U13" s="1"/>
  <c r="T13" s="1"/>
  <c r="I12"/>
  <c r="F12"/>
  <c r="C12"/>
  <c r="L12" s="1"/>
  <c r="U11"/>
  <c r="T11" s="1"/>
  <c r="I11"/>
  <c r="F11"/>
  <c r="C11"/>
  <c r="R11" s="1"/>
  <c r="O10"/>
  <c r="C10"/>
  <c r="R10" s="1"/>
  <c r="O9"/>
  <c r="L9"/>
  <c r="C9"/>
  <c r="I9" s="1"/>
  <c r="A14" i="37"/>
  <c r="A13"/>
  <c r="A12"/>
  <c r="A11"/>
  <c r="A10"/>
  <c r="A9"/>
  <c r="A14" i="36"/>
  <c r="A13"/>
  <c r="A12"/>
  <c r="A11"/>
  <c r="A10"/>
  <c r="A9"/>
  <c r="A14" i="35"/>
  <c r="A13"/>
  <c r="A12"/>
  <c r="A11"/>
  <c r="A10"/>
  <c r="A9"/>
  <c r="A14" i="34"/>
  <c r="A13"/>
  <c r="A12"/>
  <c r="A11"/>
  <c r="A10"/>
  <c r="A9"/>
  <c r="A14" i="33"/>
  <c r="A13"/>
  <c r="A12"/>
  <c r="A11"/>
  <c r="A10"/>
  <c r="A9"/>
  <c r="A14" i="32"/>
  <c r="A13"/>
  <c r="A12"/>
  <c r="A11"/>
  <c r="A10"/>
  <c r="A9"/>
  <c r="M14" i="20"/>
  <c r="J14"/>
  <c r="G14"/>
  <c r="M13"/>
  <c r="J13"/>
  <c r="G13"/>
  <c r="M12"/>
  <c r="J12"/>
  <c r="G12"/>
  <c r="M11"/>
  <c r="J11"/>
  <c r="G11"/>
  <c r="M10"/>
  <c r="J10"/>
  <c r="G10"/>
  <c r="F14" i="25"/>
  <c r="A14"/>
  <c r="F13"/>
  <c r="A13"/>
  <c r="F12"/>
  <c r="A12"/>
  <c r="F11"/>
  <c r="A11"/>
  <c r="F10"/>
  <c r="A10"/>
  <c r="A13" i="27"/>
  <c r="A12"/>
  <c r="A11"/>
  <c r="A10"/>
  <c r="A9"/>
  <c r="D13" i="22"/>
  <c r="A13"/>
  <c r="D12"/>
  <c r="A12"/>
  <c r="D11"/>
  <c r="A11"/>
  <c r="D10"/>
  <c r="A10"/>
  <c r="D9"/>
  <c r="A9"/>
  <c r="D13" i="21"/>
  <c r="A13"/>
  <c r="B13" s="1"/>
  <c r="D12"/>
  <c r="B12"/>
  <c r="A12"/>
  <c r="A13" i="39" s="1"/>
  <c r="D11" i="21"/>
  <c r="C11"/>
  <c r="F11" i="27" s="1"/>
  <c r="A11" i="21"/>
  <c r="B11" s="1"/>
  <c r="E11" s="1"/>
  <c r="B11" i="22" s="1"/>
  <c r="E11" s="1"/>
  <c r="F11" s="1"/>
  <c r="C11" i="27" s="1"/>
  <c r="D10" i="21"/>
  <c r="C10"/>
  <c r="F10" i="27" s="1"/>
  <c r="A10" i="21"/>
  <c r="B10" s="1"/>
  <c r="D9"/>
  <c r="C9"/>
  <c r="F9" i="27" s="1"/>
  <c r="A9" i="21"/>
  <c r="B9" s="1"/>
  <c r="C8"/>
  <c r="C7"/>
  <c r="C6"/>
  <c r="E17" i="19"/>
  <c r="H14"/>
  <c r="E12"/>
  <c r="H12" s="1"/>
  <c r="I12" s="1"/>
  <c r="H11"/>
  <c r="I11" s="1"/>
  <c r="E11"/>
  <c r="E10"/>
  <c r="H10" s="1"/>
  <c r="I10" s="1"/>
  <c r="E9"/>
  <c r="H9" s="1"/>
  <c r="I9" s="1"/>
  <c r="E8"/>
  <c r="H8" s="1"/>
  <c r="I8" s="1"/>
  <c r="C22" i="17"/>
  <c r="G13" i="26"/>
  <c r="C11"/>
  <c r="G6"/>
  <c r="G5"/>
  <c r="C13"/>
  <c r="C12"/>
  <c r="C10"/>
  <c r="C9"/>
  <c r="R9" i="39" l="1"/>
  <c r="A11"/>
  <c r="L11"/>
  <c r="A12"/>
  <c r="O12"/>
  <c r="F13"/>
  <c r="A14"/>
  <c r="F9"/>
  <c r="A10"/>
  <c r="O11"/>
  <c r="U12"/>
  <c r="T12" s="1"/>
  <c r="R13"/>
  <c r="E43" i="23"/>
  <c r="E46"/>
  <c r="B12" i="25"/>
  <c r="D25" i="44" s="1"/>
  <c r="E10" i="21"/>
  <c r="B10" i="22" s="1"/>
  <c r="E10" s="1"/>
  <c r="F10" s="1"/>
  <c r="E12" i="20"/>
  <c r="E9" i="21"/>
  <c r="H12" i="20"/>
  <c r="D12" i="33" s="1"/>
  <c r="C12" i="25"/>
  <c r="D26" i="44" s="1"/>
  <c r="L10" i="39"/>
  <c r="O13"/>
  <c r="U10"/>
  <c r="T10" s="1"/>
  <c r="I14"/>
  <c r="U9"/>
  <c r="T9" s="1"/>
  <c r="F10"/>
  <c r="I13"/>
  <c r="R14"/>
  <c r="R12"/>
  <c r="L14"/>
  <c r="I10"/>
  <c r="L13"/>
  <c r="U14"/>
  <c r="T14" s="1"/>
  <c r="F14"/>
  <c r="D12" i="35" l="1"/>
  <c r="B9" i="22"/>
  <c r="E9" s="1"/>
  <c r="F9" s="1"/>
  <c r="B10" i="25"/>
  <c r="G8" i="44" s="1"/>
  <c r="E10" i="20"/>
  <c r="C12"/>
  <c r="B11" i="27" s="1"/>
  <c r="E11" s="1"/>
  <c r="G11" s="1"/>
  <c r="H11" s="1"/>
  <c r="C35" i="23" s="1"/>
  <c r="C12" i="37"/>
  <c r="C12" i="35"/>
  <c r="C12" i="33"/>
  <c r="C12" i="36"/>
  <c r="C12" i="32"/>
  <c r="B11" i="25"/>
  <c r="C25" i="44" s="1"/>
  <c r="E11" i="20"/>
  <c r="D12" i="36"/>
  <c r="F12" i="20"/>
  <c r="D12" i="37"/>
  <c r="D12" i="32"/>
  <c r="C11" i="25"/>
  <c r="C26" i="44" s="1"/>
  <c r="H11" i="20"/>
  <c r="C10" i="27"/>
  <c r="C36" i="23" l="1"/>
  <c r="F36" s="1"/>
  <c r="G36" s="1"/>
  <c r="C11" i="32"/>
  <c r="C11" i="20"/>
  <c r="B10" i="27" s="1"/>
  <c r="E10" s="1"/>
  <c r="G10" s="1"/>
  <c r="H10" s="1"/>
  <c r="C30" i="23" s="1"/>
  <c r="F30" s="1"/>
  <c r="G30" s="1"/>
  <c r="C11" i="37"/>
  <c r="C11" i="35"/>
  <c r="C11" i="33"/>
  <c r="C11" i="36"/>
  <c r="C10"/>
  <c r="C10" i="20"/>
  <c r="B9" i="27" s="1"/>
  <c r="C10" i="32"/>
  <c r="C10" i="37"/>
  <c r="C10" i="35"/>
  <c r="C10" i="33"/>
  <c r="C9" i="27"/>
  <c r="C10" i="25"/>
  <c r="G9" i="44" s="1"/>
  <c r="H10" i="20"/>
  <c r="D11" i="33"/>
  <c r="D11" i="32"/>
  <c r="D11" i="35"/>
  <c r="D11" i="37"/>
  <c r="D11" i="36"/>
  <c r="F11" i="20"/>
  <c r="L31" i="8"/>
  <c r="F31" i="23" l="1"/>
  <c r="G31" s="1"/>
  <c r="G34" s="1"/>
  <c r="D11" i="25" s="1"/>
  <c r="C27" i="44" s="1"/>
  <c r="D10" i="37"/>
  <c r="D10" i="33"/>
  <c r="D10" i="32"/>
  <c r="D10" i="36"/>
  <c r="D10" i="35"/>
  <c r="F10" i="20"/>
  <c r="E9" i="27"/>
  <c r="G9" s="1"/>
  <c r="G6" i="44"/>
  <c r="H17" i="19"/>
  <c r="I17" s="1"/>
  <c r="D48" i="23" l="1"/>
  <c r="D43"/>
  <c r="H9" i="27"/>
  <c r="C25" i="23" s="1"/>
  <c r="F25" s="1"/>
  <c r="G25" s="1"/>
  <c r="C26"/>
  <c r="F26" s="1"/>
  <c r="G26" s="1"/>
  <c r="H13" i="19"/>
  <c r="G29" i="23" l="1"/>
  <c r="D10" i="25" s="1"/>
  <c r="G10" i="44" s="1"/>
  <c r="H15" i="19"/>
  <c r="I15" s="1"/>
  <c r="A3" i="44"/>
  <c r="C8" i="39"/>
  <c r="C7"/>
  <c r="C6"/>
  <c r="A3"/>
  <c r="K10" i="20" l="1"/>
  <c r="E10" i="35" s="1"/>
  <c r="F10" s="1"/>
  <c r="G10" s="1"/>
  <c r="M10" i="39" s="1"/>
  <c r="E10" i="25"/>
  <c r="G10" s="1"/>
  <c r="N10" i="20" s="1"/>
  <c r="L10" s="1"/>
  <c r="L6" i="39"/>
  <c r="I7"/>
  <c r="F8"/>
  <c r="O7"/>
  <c r="F6"/>
  <c r="I8"/>
  <c r="R6"/>
  <c r="U7"/>
  <c r="U6"/>
  <c r="R7"/>
  <c r="U8"/>
  <c r="O8"/>
  <c r="R8"/>
  <c r="O6"/>
  <c r="L7"/>
  <c r="F7"/>
  <c r="L8"/>
  <c r="I6"/>
  <c r="A9" i="38"/>
  <c r="A8"/>
  <c r="A7"/>
  <c r="A6"/>
  <c r="A3"/>
  <c r="A8" i="37"/>
  <c r="A7"/>
  <c r="A6"/>
  <c r="A3"/>
  <c r="A8" i="36"/>
  <c r="A7"/>
  <c r="A6"/>
  <c r="A3"/>
  <c r="A8" i="35"/>
  <c r="A7"/>
  <c r="A6"/>
  <c r="A3"/>
  <c r="A8" i="34"/>
  <c r="A7"/>
  <c r="A6"/>
  <c r="A3"/>
  <c r="A8" i="33"/>
  <c r="A7"/>
  <c r="A6"/>
  <c r="A3"/>
  <c r="A8" i="32"/>
  <c r="A7"/>
  <c r="A6"/>
  <c r="A3"/>
  <c r="A3" i="30"/>
  <c r="D20" i="23"/>
  <c r="D15"/>
  <c r="D10"/>
  <c r="A5"/>
  <c r="A10"/>
  <c r="A15"/>
  <c r="A20"/>
  <c r="M9" i="20"/>
  <c r="J9"/>
  <c r="G9"/>
  <c r="M8"/>
  <c r="J8"/>
  <c r="G8"/>
  <c r="M7"/>
  <c r="J7"/>
  <c r="G7"/>
  <c r="M6"/>
  <c r="J6"/>
  <c r="G6"/>
  <c r="A8" i="27"/>
  <c r="A7"/>
  <c r="A6"/>
  <c r="A5"/>
  <c r="A3"/>
  <c r="C26" i="26"/>
  <c r="C25"/>
  <c r="C24"/>
  <c r="C23"/>
  <c r="A3"/>
  <c r="F9" i="25"/>
  <c r="F8"/>
  <c r="F7"/>
  <c r="F6"/>
  <c r="A9"/>
  <c r="A8"/>
  <c r="A7"/>
  <c r="A6"/>
  <c r="A3"/>
  <c r="D8" i="24"/>
  <c r="C8"/>
  <c r="A8"/>
  <c r="D7"/>
  <c r="C7"/>
  <c r="A7"/>
  <c r="D6"/>
  <c r="C6"/>
  <c r="A6"/>
  <c r="D5"/>
  <c r="A5"/>
  <c r="A3"/>
  <c r="E20" i="23"/>
  <c r="E21" s="1"/>
  <c r="E15"/>
  <c r="E16" s="1"/>
  <c r="E10"/>
  <c r="E5"/>
  <c r="A3"/>
  <c r="D8" i="22"/>
  <c r="A8"/>
  <c r="D7"/>
  <c r="A7"/>
  <c r="D6"/>
  <c r="A6"/>
  <c r="D5"/>
  <c r="A5"/>
  <c r="A3"/>
  <c r="G11" i="44" l="1"/>
  <c r="I10" i="20"/>
  <c r="O10" s="1"/>
  <c r="E10" i="36"/>
  <c r="F10" s="1"/>
  <c r="G10" s="1"/>
  <c r="P10" i="39" s="1"/>
  <c r="N10" s="1"/>
  <c r="E10" i="33"/>
  <c r="F10" s="1"/>
  <c r="G10" s="1"/>
  <c r="G10" i="39" s="1"/>
  <c r="E10" i="32"/>
  <c r="F10" s="1"/>
  <c r="G10" s="1"/>
  <c r="D10" i="39" s="1"/>
  <c r="B10" s="1"/>
  <c r="E10" i="37"/>
  <c r="F10" s="1"/>
  <c r="G10" s="1"/>
  <c r="S10" i="39" s="1"/>
  <c r="Q10" s="1"/>
  <c r="D45" i="23"/>
  <c r="D40"/>
  <c r="D35"/>
  <c r="F35" s="1"/>
  <c r="G35" s="1"/>
  <c r="G39" s="1"/>
  <c r="D12" i="25" s="1"/>
  <c r="G12" i="23"/>
  <c r="E11"/>
  <c r="F12" i="27"/>
  <c r="J12" s="1"/>
  <c r="E12" i="21"/>
  <c r="F13" i="27"/>
  <c r="J13" s="1"/>
  <c r="E13" i="21"/>
  <c r="P10" i="20"/>
  <c r="K10" i="39"/>
  <c r="G16" i="44"/>
  <c r="C5" i="26"/>
  <c r="C6"/>
  <c r="C8"/>
  <c r="G7"/>
  <c r="C7"/>
  <c r="G7" i="23"/>
  <c r="G13"/>
  <c r="G8"/>
  <c r="G23"/>
  <c r="G22"/>
  <c r="D8" i="21"/>
  <c r="D7"/>
  <c r="D6"/>
  <c r="D5"/>
  <c r="A6"/>
  <c r="A7"/>
  <c r="A8"/>
  <c r="A9" i="39" s="1"/>
  <c r="A5" i="21"/>
  <c r="A3"/>
  <c r="G17" i="44" l="1"/>
  <c r="F10" i="34"/>
  <c r="G10" s="1"/>
  <c r="J10" i="39" s="1"/>
  <c r="H10" s="1"/>
  <c r="G18" i="44"/>
  <c r="G13"/>
  <c r="D27"/>
  <c r="K12" i="20"/>
  <c r="E12" i="25"/>
  <c r="G12" s="1"/>
  <c r="B14"/>
  <c r="E14" i="20"/>
  <c r="B13" i="22"/>
  <c r="E13" s="1"/>
  <c r="F13" s="1"/>
  <c r="B12"/>
  <c r="E12" s="1"/>
  <c r="F12" s="1"/>
  <c r="E13" i="20"/>
  <c r="B13" i="25"/>
  <c r="E10" i="39"/>
  <c r="G14" i="44"/>
  <c r="B8" i="21"/>
  <c r="A8" i="39"/>
  <c r="B6" i="21"/>
  <c r="A7" i="39"/>
  <c r="B5" i="21"/>
  <c r="A6" i="39"/>
  <c r="D16" i="20"/>
  <c r="G16"/>
  <c r="M16"/>
  <c r="B7" i="21"/>
  <c r="D15"/>
  <c r="A3" i="20"/>
  <c r="X10" i="39" l="1"/>
  <c r="G15" i="44"/>
  <c r="N12" i="20"/>
  <c r="L12" s="1"/>
  <c r="D28" i="44"/>
  <c r="D29" s="1"/>
  <c r="D44" s="1"/>
  <c r="E12" i="35"/>
  <c r="F12" s="1"/>
  <c r="G12" s="1"/>
  <c r="M12" i="39" s="1"/>
  <c r="E12" i="33"/>
  <c r="F12" s="1"/>
  <c r="G12" s="1"/>
  <c r="E12" i="32"/>
  <c r="F12" s="1"/>
  <c r="G12" s="1"/>
  <c r="D12" i="39" s="1"/>
  <c r="E12" i="36"/>
  <c r="F12" s="1"/>
  <c r="G12" s="1"/>
  <c r="P12" i="39" s="1"/>
  <c r="I12" i="20"/>
  <c r="E12" i="37"/>
  <c r="F12" s="1"/>
  <c r="G12" s="1"/>
  <c r="S12" i="39" s="1"/>
  <c r="P12" i="20"/>
  <c r="W10" i="39"/>
  <c r="C13" i="36"/>
  <c r="C13" i="37"/>
  <c r="C13" i="35"/>
  <c r="C13" i="20"/>
  <c r="B12" i="27" s="1"/>
  <c r="C13" i="33"/>
  <c r="C13" i="32"/>
  <c r="C13" i="25"/>
  <c r="E26" i="44" s="1"/>
  <c r="C12" i="27"/>
  <c r="H13" i="20"/>
  <c r="C13" i="27"/>
  <c r="H14" i="20"/>
  <c r="C14" i="25"/>
  <c r="F26" i="44" s="1"/>
  <c r="E25"/>
  <c r="C14" i="32"/>
  <c r="C14" i="35"/>
  <c r="C14" i="37"/>
  <c r="C14" i="20"/>
  <c r="C14" i="33"/>
  <c r="C14" i="36"/>
  <c r="F25" i="44"/>
  <c r="D15" i="22"/>
  <c r="J16" i="20"/>
  <c r="D10" i="24"/>
  <c r="R17" i="39"/>
  <c r="C17"/>
  <c r="L17"/>
  <c r="O12" i="20" l="1"/>
  <c r="D35" i="44"/>
  <c r="Q12" i="39"/>
  <c r="B12"/>
  <c r="D30" i="44"/>
  <c r="G12" i="39"/>
  <c r="F12" i="34"/>
  <c r="G12" s="1"/>
  <c r="J12" i="39" s="1"/>
  <c r="N12"/>
  <c r="D34" i="44"/>
  <c r="D33"/>
  <c r="K12" i="39"/>
  <c r="E12" i="27"/>
  <c r="G12" s="1"/>
  <c r="D14" i="37"/>
  <c r="F14" i="20"/>
  <c r="D14" i="36"/>
  <c r="D14" i="35"/>
  <c r="D14" i="33"/>
  <c r="D14" i="32"/>
  <c r="B13" i="27"/>
  <c r="E13" s="1"/>
  <c r="G13" s="1"/>
  <c r="H13" s="1"/>
  <c r="F13" i="20"/>
  <c r="D13" i="32"/>
  <c r="D13" i="37"/>
  <c r="D13" i="36"/>
  <c r="D13" i="33"/>
  <c r="D13" i="35"/>
  <c r="I17" i="39"/>
  <c r="F17"/>
  <c r="U17"/>
  <c r="O17"/>
  <c r="X12" l="1"/>
  <c r="D32" i="44"/>
  <c r="H12" i="39"/>
  <c r="D31" i="44"/>
  <c r="D36" s="1"/>
  <c r="D37" s="1"/>
  <c r="D45" s="1"/>
  <c r="E12" i="39"/>
  <c r="W12" s="1"/>
  <c r="C43" i="23"/>
  <c r="G43" s="1"/>
  <c r="H12" i="27"/>
  <c r="C40" i="23" s="1"/>
  <c r="F40" s="1"/>
  <c r="G40" s="1"/>
  <c r="C41"/>
  <c r="F41" s="1"/>
  <c r="G41" s="1"/>
  <c r="C46"/>
  <c r="F46" s="1"/>
  <c r="G46" s="1"/>
  <c r="C48"/>
  <c r="G48" s="1"/>
  <c r="C45"/>
  <c r="F45" s="1"/>
  <c r="G45" s="1"/>
  <c r="E7" i="19"/>
  <c r="H7" s="1"/>
  <c r="I7" s="1"/>
  <c r="E6"/>
  <c r="H6" s="1"/>
  <c r="I6" s="1"/>
  <c r="C5" i="21" s="1"/>
  <c r="A3" i="19"/>
  <c r="A3" i="18"/>
  <c r="A3" i="17"/>
  <c r="G44" i="23" l="1"/>
  <c r="D13" i="25" s="1"/>
  <c r="E27" i="44" s="1"/>
  <c r="G49" i="23"/>
  <c r="D14" i="25" s="1"/>
  <c r="K14" i="20" s="1"/>
  <c r="F8" i="27"/>
  <c r="E8" i="21"/>
  <c r="F5" i="27"/>
  <c r="E5" i="21"/>
  <c r="F6" i="27"/>
  <c r="E6" i="21"/>
  <c r="F7" i="27"/>
  <c r="E7" i="21"/>
  <c r="A3" i="4"/>
  <c r="E13" i="25" l="1"/>
  <c r="G13" s="1"/>
  <c r="N13" i="20" s="1"/>
  <c r="K13"/>
  <c r="E13" i="35" s="1"/>
  <c r="F13" s="1"/>
  <c r="G13" s="1"/>
  <c r="M13" i="39" s="1"/>
  <c r="E14" i="25"/>
  <c r="G14" s="1"/>
  <c r="F28" i="44" s="1"/>
  <c r="F27"/>
  <c r="E14" i="32"/>
  <c r="F14" s="1"/>
  <c r="G14" s="1"/>
  <c r="D14" i="39" s="1"/>
  <c r="E14" i="35"/>
  <c r="F14" s="1"/>
  <c r="G14" s="1"/>
  <c r="M14" i="39" s="1"/>
  <c r="E14" i="33"/>
  <c r="F14" s="1"/>
  <c r="G14" s="1"/>
  <c r="E14" i="36"/>
  <c r="F14" s="1"/>
  <c r="G14" s="1"/>
  <c r="P14" i="39" s="1"/>
  <c r="I14" i="20"/>
  <c r="E14" i="37"/>
  <c r="F14" s="1"/>
  <c r="G14" s="1"/>
  <c r="S14" i="39" s="1"/>
  <c r="B7" i="25"/>
  <c r="D8" i="44" s="1"/>
  <c r="B8" i="25"/>
  <c r="E8" i="44" s="1"/>
  <c r="B6" i="25"/>
  <c r="C8" i="44" s="1"/>
  <c r="B9" i="25"/>
  <c r="F8" i="44" s="1"/>
  <c r="B5" i="22"/>
  <c r="E5" s="1"/>
  <c r="F5" s="1"/>
  <c r="C5" i="27" s="1"/>
  <c r="E6" i="20"/>
  <c r="E15" i="21"/>
  <c r="E8" i="20"/>
  <c r="B7" i="22"/>
  <c r="E7" s="1"/>
  <c r="F7" s="1"/>
  <c r="C7" i="27" s="1"/>
  <c r="E7" i="20"/>
  <c r="B6" i="22"/>
  <c r="E6" s="1"/>
  <c r="F6" s="1"/>
  <c r="C6" i="27" s="1"/>
  <c r="E9" i="20"/>
  <c r="B8" i="22"/>
  <c r="E8" s="1"/>
  <c r="F8" s="1"/>
  <c r="C8" i="27" s="1"/>
  <c r="A3" i="11"/>
  <c r="B26" i="1"/>
  <c r="E9"/>
  <c r="G26"/>
  <c r="G25"/>
  <c r="B25"/>
  <c r="E13" i="36" l="1"/>
  <c r="F13" s="1"/>
  <c r="G13" s="1"/>
  <c r="P13" i="39" s="1"/>
  <c r="E34" i="44" s="1"/>
  <c r="I13" i="20"/>
  <c r="E13" i="33"/>
  <c r="F13" s="1"/>
  <c r="G13" s="1"/>
  <c r="G13" i="39" s="1"/>
  <c r="E13" i="37"/>
  <c r="F13" s="1"/>
  <c r="G13" s="1"/>
  <c r="S13" i="39" s="1"/>
  <c r="Q13" s="1"/>
  <c r="E13" i="32"/>
  <c r="F13" s="1"/>
  <c r="G13" s="1"/>
  <c r="D13" i="39" s="1"/>
  <c r="E30" i="44" s="1"/>
  <c r="L13" i="20"/>
  <c r="O13" s="1"/>
  <c r="P13"/>
  <c r="E28" i="44"/>
  <c r="E29" s="1"/>
  <c r="E44" s="1"/>
  <c r="N14" i="20"/>
  <c r="L14" s="1"/>
  <c r="O14" s="1"/>
  <c r="F29" i="44"/>
  <c r="F44" s="1"/>
  <c r="G14" i="39"/>
  <c r="F14" i="34"/>
  <c r="G14" s="1"/>
  <c r="J14" i="39" s="1"/>
  <c r="K14"/>
  <c r="F33" i="44"/>
  <c r="F34"/>
  <c r="N14" i="39"/>
  <c r="B14"/>
  <c r="F30" i="44"/>
  <c r="E33"/>
  <c r="K13" i="39"/>
  <c r="F35" i="44"/>
  <c r="Q14" i="39"/>
  <c r="C9" i="33"/>
  <c r="C9" i="36"/>
  <c r="C9" i="32"/>
  <c r="C9" i="37"/>
  <c r="C9" i="35"/>
  <c r="G25" i="44"/>
  <c r="B16" i="25"/>
  <c r="E16" i="20"/>
  <c r="E10" i="1" s="1"/>
  <c r="C6" i="25"/>
  <c r="C9" i="44" s="1"/>
  <c r="C9" i="38"/>
  <c r="C6" i="37"/>
  <c r="C6" i="38"/>
  <c r="C7" i="37"/>
  <c r="C7" i="38"/>
  <c r="C8" i="37"/>
  <c r="C8" i="38"/>
  <c r="C6" i="35"/>
  <c r="C6" i="36"/>
  <c r="C7"/>
  <c r="C7" i="35"/>
  <c r="C8"/>
  <c r="C8" i="36"/>
  <c r="C7" i="32"/>
  <c r="C7" i="33"/>
  <c r="C8" i="32"/>
  <c r="C8" i="33"/>
  <c r="C6" i="32"/>
  <c r="C6" i="33"/>
  <c r="C8" i="20"/>
  <c r="H9"/>
  <c r="C9" i="25"/>
  <c r="F9" i="44" s="1"/>
  <c r="H7" i="20"/>
  <c r="C7" i="25"/>
  <c r="D9" i="44" s="1"/>
  <c r="C9" i="20"/>
  <c r="C7"/>
  <c r="H8"/>
  <c r="C8" i="25"/>
  <c r="E9" i="44" s="1"/>
  <c r="C6" i="20"/>
  <c r="H6"/>
  <c r="F15" i="22"/>
  <c r="F13" i="34" l="1"/>
  <c r="G13" s="1"/>
  <c r="J13" i="39" s="1"/>
  <c r="E32" i="44" s="1"/>
  <c r="E35"/>
  <c r="B13" i="39"/>
  <c r="N13"/>
  <c r="P14" i="20"/>
  <c r="F32" i="44"/>
  <c r="H14" i="39"/>
  <c r="X14"/>
  <c r="F31" i="44"/>
  <c r="E14" i="39"/>
  <c r="H13"/>
  <c r="E31" i="44"/>
  <c r="E13" i="39"/>
  <c r="D9" i="37"/>
  <c r="D9" i="36"/>
  <c r="D9" i="35"/>
  <c r="D9" i="33"/>
  <c r="D9" i="32"/>
  <c r="G26" i="44"/>
  <c r="H16" i="20"/>
  <c r="E11" i="1" s="1"/>
  <c r="C16" i="37"/>
  <c r="C11" i="38"/>
  <c r="D7" i="37"/>
  <c r="D7" i="38"/>
  <c r="D6" i="37"/>
  <c r="D6" i="38"/>
  <c r="D8" i="37"/>
  <c r="D8" i="38"/>
  <c r="D9"/>
  <c r="D6" i="36"/>
  <c r="D6" i="35"/>
  <c r="D8"/>
  <c r="D8" i="36"/>
  <c r="D7"/>
  <c r="D7" i="35"/>
  <c r="C16"/>
  <c r="C16" i="36"/>
  <c r="C16" i="25"/>
  <c r="C16" i="33"/>
  <c r="C16" i="32"/>
  <c r="F9" i="20"/>
  <c r="F8"/>
  <c r="D8" i="32"/>
  <c r="D8" i="33"/>
  <c r="F7" i="20"/>
  <c r="D7" i="33"/>
  <c r="D7" i="32"/>
  <c r="D6" i="33"/>
  <c r="D6" i="32"/>
  <c r="F6" i="20"/>
  <c r="B6" i="27"/>
  <c r="B8"/>
  <c r="B5"/>
  <c r="B7"/>
  <c r="X13" i="39" l="1"/>
  <c r="F36" i="44"/>
  <c r="F37" s="1"/>
  <c r="F45" s="1"/>
  <c r="W13" i="39"/>
  <c r="W14"/>
  <c r="E36" i="44"/>
  <c r="E37" s="1"/>
  <c r="E45" s="1"/>
  <c r="E8" i="27"/>
  <c r="G8" s="1"/>
  <c r="D16" i="37"/>
  <c r="D11" i="38"/>
  <c r="E5" i="27"/>
  <c r="G5" s="1"/>
  <c r="D16" i="35"/>
  <c r="D16" i="36"/>
  <c r="E7" i="27"/>
  <c r="G7" s="1"/>
  <c r="D16" i="32"/>
  <c r="D16" i="33"/>
  <c r="E6" i="27"/>
  <c r="G6" s="1"/>
  <c r="C11" i="23" s="1"/>
  <c r="F11" s="1"/>
  <c r="G11" s="1"/>
  <c r="H7" i="27" l="1"/>
  <c r="C15" i="23" s="1"/>
  <c r="C16"/>
  <c r="F16" s="1"/>
  <c r="G16" s="1"/>
  <c r="H8" i="27"/>
  <c r="C21" i="23"/>
  <c r="F21" s="1"/>
  <c r="G21" s="1"/>
  <c r="G17"/>
  <c r="G18"/>
  <c r="H5" i="27"/>
  <c r="B5" i="24" s="1"/>
  <c r="E5" s="1"/>
  <c r="F5" s="1"/>
  <c r="H6" i="27"/>
  <c r="B6" i="24" s="1"/>
  <c r="E6" s="1"/>
  <c r="F6" s="1"/>
  <c r="C5" i="23" l="1"/>
  <c r="F5" s="1"/>
  <c r="G5" s="1"/>
  <c r="B7" i="24"/>
  <c r="E7" s="1"/>
  <c r="F7" s="1"/>
  <c r="C10" i="23"/>
  <c r="F10" s="1"/>
  <c r="G10" s="1"/>
  <c r="F15"/>
  <c r="G15" s="1"/>
  <c r="B8" i="24"/>
  <c r="E8" s="1"/>
  <c r="F8" s="1"/>
  <c r="C20" i="23"/>
  <c r="F20" s="1"/>
  <c r="G20" s="1"/>
  <c r="G24" s="1"/>
  <c r="D9" i="25" s="1"/>
  <c r="F10" i="44" s="1"/>
  <c r="F6" i="23"/>
  <c r="G6" s="1"/>
  <c r="G9" l="1"/>
  <c r="F10" i="24"/>
  <c r="G19" i="23"/>
  <c r="E9" i="25"/>
  <c r="G9" s="1"/>
  <c r="F11" i="44" s="1"/>
  <c r="F12" s="1"/>
  <c r="G14" i="23"/>
  <c r="D7" i="25" s="1"/>
  <c r="D10" i="44" s="1"/>
  <c r="K9" i="20"/>
  <c r="F41" i="44" l="1"/>
  <c r="F42" s="1"/>
  <c r="D8" i="25"/>
  <c r="E8" s="1"/>
  <c r="G8" s="1"/>
  <c r="G51" i="23"/>
  <c r="E9" i="33"/>
  <c r="F9" s="1"/>
  <c r="G9" s="1"/>
  <c r="E9" i="32"/>
  <c r="F9" s="1"/>
  <c r="G9" s="1"/>
  <c r="D9" i="39" s="1"/>
  <c r="E9" i="37"/>
  <c r="F9" s="1"/>
  <c r="G9" s="1"/>
  <c r="S9" i="39" s="1"/>
  <c r="E9" i="36"/>
  <c r="F9" s="1"/>
  <c r="G9" s="1"/>
  <c r="P9" i="39" s="1"/>
  <c r="E9" i="35"/>
  <c r="F9" s="1"/>
  <c r="G9" s="1"/>
  <c r="M9" i="39" s="1"/>
  <c r="D6" i="25"/>
  <c r="C10" i="44" s="1"/>
  <c r="N9" i="20"/>
  <c r="E9" i="38"/>
  <c r="F9" s="1"/>
  <c r="G9" s="1"/>
  <c r="I9" i="20"/>
  <c r="E7" i="25"/>
  <c r="G7" s="1"/>
  <c r="D11" i="44" s="1"/>
  <c r="D12" s="1"/>
  <c r="K7" i="20"/>
  <c r="D41" i="44" l="1"/>
  <c r="D42" s="1"/>
  <c r="E10"/>
  <c r="G27" s="1"/>
  <c r="K8" i="20"/>
  <c r="E8" i="37" s="1"/>
  <c r="F8" s="1"/>
  <c r="G8" s="1"/>
  <c r="S8" i="39" s="1"/>
  <c r="Q8" s="1"/>
  <c r="N9"/>
  <c r="F17" i="44"/>
  <c r="K9" i="39"/>
  <c r="F16" i="44"/>
  <c r="Q9" i="39"/>
  <c r="F18" i="44"/>
  <c r="B9" i="39"/>
  <c r="F13" i="44"/>
  <c r="E11" i="25"/>
  <c r="G11" s="1"/>
  <c r="K11" i="20"/>
  <c r="G9" i="39"/>
  <c r="F14" i="44" s="1"/>
  <c r="F9" i="34"/>
  <c r="G9" s="1"/>
  <c r="J9" i="39" s="1"/>
  <c r="D16" i="25"/>
  <c r="K6" i="20"/>
  <c r="E6" i="25"/>
  <c r="G6" s="1"/>
  <c r="C11" i="44" s="1"/>
  <c r="E11"/>
  <c r="N8" i="20"/>
  <c r="L8" s="1"/>
  <c r="E8" i="36"/>
  <c r="F8" s="1"/>
  <c r="G8" s="1"/>
  <c r="P8" i="39" s="1"/>
  <c r="E17" i="44" s="1"/>
  <c r="N7" i="20"/>
  <c r="L7" s="1"/>
  <c r="L9"/>
  <c r="O9" s="1"/>
  <c r="P9"/>
  <c r="E7" i="37"/>
  <c r="F7" s="1"/>
  <c r="E7" i="38"/>
  <c r="E7" i="36"/>
  <c r="E7" i="35"/>
  <c r="E7" i="33"/>
  <c r="E7" i="32"/>
  <c r="I7" i="20"/>
  <c r="E8" i="33" l="1"/>
  <c r="F8" s="1"/>
  <c r="G8" s="1"/>
  <c r="G8" i="39" s="1"/>
  <c r="E8" i="32"/>
  <c r="F8" s="1"/>
  <c r="G8" s="1"/>
  <c r="D8" i="39" s="1"/>
  <c r="E13" i="44" s="1"/>
  <c r="I8" i="20"/>
  <c r="O8" s="1"/>
  <c r="E8" i="35"/>
  <c r="F8" s="1"/>
  <c r="G8" s="1"/>
  <c r="M8" i="39" s="1"/>
  <c r="K8" s="1"/>
  <c r="E8" i="38"/>
  <c r="F8" s="1"/>
  <c r="G8" s="1"/>
  <c r="E12" i="44"/>
  <c r="H9" i="39"/>
  <c r="F15" i="44"/>
  <c r="N11" i="20"/>
  <c r="L11" s="1"/>
  <c r="C28" i="44"/>
  <c r="C29" s="1"/>
  <c r="K16" i="20"/>
  <c r="E12" i="1" s="1"/>
  <c r="X9" i="39"/>
  <c r="E9"/>
  <c r="I11" i="20"/>
  <c r="E11" i="33"/>
  <c r="F11" s="1"/>
  <c r="G11" s="1"/>
  <c r="E11" i="32"/>
  <c r="F11" s="1"/>
  <c r="G11" s="1"/>
  <c r="D11" i="39" s="1"/>
  <c r="C30" i="44" s="1"/>
  <c r="E11" i="37"/>
  <c r="F11" s="1"/>
  <c r="G11" s="1"/>
  <c r="S11" i="39" s="1"/>
  <c r="E11" i="36"/>
  <c r="F11" s="1"/>
  <c r="G11" s="1"/>
  <c r="P11" i="39" s="1"/>
  <c r="E11" i="35"/>
  <c r="F11" s="1"/>
  <c r="G11" s="1"/>
  <c r="M11" i="39" s="1"/>
  <c r="P8" i="20"/>
  <c r="E6" i="36"/>
  <c r="F6" s="1"/>
  <c r="G6" s="1"/>
  <c r="P6" i="39" s="1"/>
  <c r="C17" i="44" s="1"/>
  <c r="E16" i="25"/>
  <c r="C12" i="44"/>
  <c r="C41" s="1"/>
  <c r="C42" s="1"/>
  <c r="E6" i="38"/>
  <c r="F6" s="1"/>
  <c r="G6" s="1"/>
  <c r="I6" i="20"/>
  <c r="E6" i="35"/>
  <c r="F6" s="1"/>
  <c r="G6" s="1"/>
  <c r="M6" i="39" s="1"/>
  <c r="E6" i="37"/>
  <c r="F6" s="1"/>
  <c r="G6" s="1"/>
  <c r="S6" i="39" s="1"/>
  <c r="C18" i="44" s="1"/>
  <c r="N6" i="20"/>
  <c r="G16" i="25"/>
  <c r="E6" i="32"/>
  <c r="F6" s="1"/>
  <c r="G6" s="1"/>
  <c r="D6" i="39" s="1"/>
  <c r="C13" i="44" s="1"/>
  <c r="E6" i="33"/>
  <c r="F6" s="1"/>
  <c r="G6" s="1"/>
  <c r="B8" i="39"/>
  <c r="T8"/>
  <c r="N8"/>
  <c r="E18" i="44"/>
  <c r="F8" i="34"/>
  <c r="G8" s="1"/>
  <c r="J8" i="39" s="1"/>
  <c r="E15" i="44" s="1"/>
  <c r="P7" i="20"/>
  <c r="O7"/>
  <c r="F7" i="38"/>
  <c r="G7" i="37"/>
  <c r="F7" i="36"/>
  <c r="F7" i="35"/>
  <c r="F7" i="33"/>
  <c r="F7" i="32"/>
  <c r="E41" i="44" l="1"/>
  <c r="E42" s="1"/>
  <c r="E16"/>
  <c r="P11" i="20"/>
  <c r="N16"/>
  <c r="E13" i="1" s="1"/>
  <c r="E15" s="1"/>
  <c r="W9" i="39"/>
  <c r="O11" i="20"/>
  <c r="K11" i="39"/>
  <c r="C33" i="44"/>
  <c r="N11" i="39"/>
  <c r="C34" i="44"/>
  <c r="C44"/>
  <c r="C45" s="1"/>
  <c r="Q11" i="39"/>
  <c r="C35" i="44"/>
  <c r="B11" i="39"/>
  <c r="F11" i="34"/>
  <c r="G11" s="1"/>
  <c r="J11" i="39" s="1"/>
  <c r="G11"/>
  <c r="G12" i="44"/>
  <c r="G28"/>
  <c r="G29" s="1"/>
  <c r="E16" i="36"/>
  <c r="F6" i="34"/>
  <c r="G6" s="1"/>
  <c r="J6" i="39" s="1"/>
  <c r="E16" i="35"/>
  <c r="F16" i="37"/>
  <c r="P6" i="20"/>
  <c r="L6"/>
  <c r="O6" s="1"/>
  <c r="E11" i="38"/>
  <c r="E16" i="37"/>
  <c r="Q6" i="39"/>
  <c r="E16" i="32"/>
  <c r="G6" i="39"/>
  <c r="C14" i="44" s="1"/>
  <c r="E16" i="33"/>
  <c r="H8" i="39"/>
  <c r="E14" i="44"/>
  <c r="E8" i="39"/>
  <c r="X8"/>
  <c r="F19" i="44"/>
  <c r="K6" i="39"/>
  <c r="C16" i="44"/>
  <c r="T6" i="39"/>
  <c r="B6"/>
  <c r="N6"/>
  <c r="G16" i="37"/>
  <c r="S7" i="39"/>
  <c r="D18" i="44" s="1"/>
  <c r="G7" i="38"/>
  <c r="F11"/>
  <c r="G7" i="36"/>
  <c r="F16"/>
  <c r="G7" i="35"/>
  <c r="F16"/>
  <c r="G7" i="32"/>
  <c r="F16"/>
  <c r="G7" i="33"/>
  <c r="F16"/>
  <c r="G41" i="44" l="1"/>
  <c r="G42" s="1"/>
  <c r="E19"/>
  <c r="E20" s="1"/>
  <c r="P16" i="20"/>
  <c r="G35" i="44"/>
  <c r="E11" i="39"/>
  <c r="C31" i="44"/>
  <c r="H11" i="39"/>
  <c r="W11" s="1"/>
  <c r="C32" i="44"/>
  <c r="X11" i="39"/>
  <c r="F20" i="44"/>
  <c r="E6" i="39"/>
  <c r="W8"/>
  <c r="H6"/>
  <c r="C15" i="44"/>
  <c r="G16" i="35"/>
  <c r="M7" i="39"/>
  <c r="D16" i="44" s="1"/>
  <c r="G33" s="1"/>
  <c r="X6" i="39"/>
  <c r="G16" i="36"/>
  <c r="P7" i="39"/>
  <c r="D17" i="44" s="1"/>
  <c r="G34" s="1"/>
  <c r="G11" i="38"/>
  <c r="G16" i="32"/>
  <c r="D7" i="39"/>
  <c r="D13" i="44" s="1"/>
  <c r="G30" s="1"/>
  <c r="G7" i="39"/>
  <c r="D14" i="44" s="1"/>
  <c r="Q7" i="39"/>
  <c r="S17"/>
  <c r="G16" i="33"/>
  <c r="F7" i="34"/>
  <c r="G31" i="44" l="1"/>
  <c r="C36"/>
  <c r="C37" s="1"/>
  <c r="C10" i="30"/>
  <c r="E21" i="1" s="1"/>
  <c r="W6" i="39"/>
  <c r="C19" i="44"/>
  <c r="N7" i="39"/>
  <c r="P17"/>
  <c r="E7"/>
  <c r="G17"/>
  <c r="K7"/>
  <c r="M17"/>
  <c r="T7"/>
  <c r="V17"/>
  <c r="B7"/>
  <c r="D17"/>
  <c r="G7" i="34"/>
  <c r="F16"/>
  <c r="C20" i="44" l="1"/>
  <c r="C9" i="30"/>
  <c r="E20" i="1" s="1"/>
  <c r="C5" i="30"/>
  <c r="E22" i="1"/>
  <c r="C8" i="30"/>
  <c r="E19" i="1" s="1"/>
  <c r="C6" i="30"/>
  <c r="E17" i="1" s="1"/>
  <c r="G16" i="34"/>
  <c r="J7" i="39"/>
  <c r="D15" i="44" s="1"/>
  <c r="G19" l="1"/>
  <c r="G20" s="1"/>
  <c r="G32"/>
  <c r="G36" s="1"/>
  <c r="G37" s="1"/>
  <c r="E16" i="1"/>
  <c r="D19" i="44"/>
  <c r="H7" i="39"/>
  <c r="W7" s="1"/>
  <c r="J17"/>
  <c r="X7"/>
  <c r="X17" s="1"/>
  <c r="D20" i="44" l="1"/>
  <c r="C7" i="30"/>
  <c r="C12" l="1"/>
  <c r="C13" s="1"/>
  <c r="E18" i="1"/>
  <c r="E24" s="1"/>
  <c r="E25" l="1"/>
  <c r="E26" s="1"/>
  <c r="E27" l="1"/>
  <c r="F26" s="1"/>
  <c r="E28" l="1"/>
  <c r="E29" s="1"/>
  <c r="M11" i="5" s="1"/>
  <c r="Q11" s="1"/>
  <c r="F24" i="1"/>
  <c r="F15"/>
  <c r="F25"/>
  <c r="F27" l="1"/>
</calcChain>
</file>

<file path=xl/sharedStrings.xml><?xml version="1.0" encoding="utf-8"?>
<sst xmlns="http://schemas.openxmlformats.org/spreadsheetml/2006/main" count="839" uniqueCount="475">
  <si>
    <t>=======   아             래   =======</t>
    <phoneticPr fontId="7" type="noConversion"/>
  </si>
  <si>
    <t>건      명</t>
    <phoneticPr fontId="4" type="noConversion"/>
  </si>
  <si>
    <t>규      격</t>
    <phoneticPr fontId="4" type="noConversion"/>
  </si>
  <si>
    <t>단위</t>
    <phoneticPr fontId="4" type="noConversion"/>
  </si>
  <si>
    <t>월 금 액</t>
    <phoneticPr fontId="4" type="noConversion"/>
  </si>
  <si>
    <t>비   고</t>
    <phoneticPr fontId="4" type="noConversion"/>
  </si>
  <si>
    <t>식</t>
    <phoneticPr fontId="4" type="noConversion"/>
  </si>
  <si>
    <t xml:space="preserve"> 註) 부가가치세 포함.</t>
    <phoneticPr fontId="4" type="noConversion"/>
  </si>
  <si>
    <t>사단법인</t>
    <phoneticPr fontId="7" type="noConversion"/>
  </si>
  <si>
    <t>한국물가정보</t>
    <phoneticPr fontId="7" type="noConversion"/>
  </si>
  <si>
    <t>회장</t>
    <phoneticPr fontId="7" type="noConversion"/>
  </si>
  <si>
    <t>노영현</t>
    <phoneticPr fontId="7" type="noConversion"/>
  </si>
  <si>
    <t>책임연구원</t>
    <phoneticPr fontId="7" type="noConversion"/>
  </si>
  <si>
    <t>홍성일</t>
    <phoneticPr fontId="7" type="noConversion"/>
  </si>
  <si>
    <r>
      <rPr>
        <b/>
        <sz val="24"/>
        <rFont val="바탕체"/>
        <family val="1"/>
        <charset val="129"/>
      </rPr>
      <t>Ⅱ</t>
    </r>
    <r>
      <rPr>
        <b/>
        <sz val="24"/>
        <rFont val="HY수평선B"/>
        <family val="1"/>
        <charset val="129"/>
      </rPr>
      <t>. 원가조사의 개요</t>
    </r>
    <phoneticPr fontId="7" type="noConversion"/>
  </si>
  <si>
    <t>1. 원가조사의 목적</t>
  </si>
  <si>
    <t>2. 원가조사 시행기관</t>
  </si>
  <si>
    <t xml:space="preserve">   사단법인 한국물가정보</t>
    <phoneticPr fontId="16" type="noConversion"/>
  </si>
  <si>
    <t>3. 원가조사 시행기간</t>
  </si>
  <si>
    <t>4. 조사의 결론</t>
  </si>
  <si>
    <r>
      <rPr>
        <b/>
        <sz val="24"/>
        <rFont val="바탕체"/>
        <family val="1"/>
        <charset val="129"/>
      </rPr>
      <t>Ⅲ</t>
    </r>
    <r>
      <rPr>
        <b/>
        <sz val="24"/>
        <rFont val="HY수평선B"/>
        <family val="1"/>
        <charset val="129"/>
      </rPr>
      <t>. 원가산정의 기준</t>
    </r>
    <phoneticPr fontId="7" type="noConversion"/>
  </si>
  <si>
    <t xml:space="preserve">   부가가치세법 제4조 및 제30조에 의거 총원가에 10.0%를 승하여 산정하였다.</t>
    <phoneticPr fontId="16" type="noConversion"/>
  </si>
  <si>
    <t>2. 용역의 대상 및 범위</t>
    <phoneticPr fontId="4" type="noConversion"/>
  </si>
  <si>
    <t>구 분</t>
  </si>
  <si>
    <t>구   분</t>
    <phoneticPr fontId="4" type="noConversion"/>
  </si>
  <si>
    <t>3. 인력산정 세부내역</t>
    <phoneticPr fontId="4" type="noConversion"/>
  </si>
  <si>
    <t>계</t>
    <phoneticPr fontId="4" type="noConversion"/>
  </si>
  <si>
    <r>
      <rPr>
        <b/>
        <sz val="30"/>
        <rFont val="바탕체"/>
        <family val="1"/>
        <charset val="129"/>
      </rPr>
      <t>Ⅴ</t>
    </r>
    <r>
      <rPr>
        <b/>
        <sz val="30"/>
        <rFont val="HY수평선B"/>
        <family val="1"/>
        <charset val="129"/>
      </rPr>
      <t>. 원 가 계 산 서</t>
    </r>
    <phoneticPr fontId="7" type="noConversion"/>
  </si>
  <si>
    <r>
      <rPr>
        <b/>
        <sz val="30"/>
        <rFont val="바탕체"/>
        <family val="1"/>
        <charset val="129"/>
      </rPr>
      <t>Ⅵ</t>
    </r>
    <r>
      <rPr>
        <b/>
        <sz val="30"/>
        <rFont val="HY수평선B"/>
        <family val="1"/>
        <charset val="129"/>
      </rPr>
      <t>. 참  고  자  료</t>
    </r>
    <phoneticPr fontId="7" type="noConversion"/>
  </si>
  <si>
    <t>원 가 계 산 서</t>
    <phoneticPr fontId="7" type="noConversion"/>
  </si>
  <si>
    <t>구     분</t>
    <phoneticPr fontId="4" type="noConversion"/>
  </si>
  <si>
    <t>비     목</t>
    <phoneticPr fontId="4" type="noConversion"/>
  </si>
  <si>
    <t>단위 : 원/월</t>
    <phoneticPr fontId="4" type="noConversion"/>
  </si>
  <si>
    <t>금     액</t>
    <phoneticPr fontId="4" type="noConversion"/>
  </si>
  <si>
    <t>구성비(%)</t>
    <phoneticPr fontId="4" type="noConversion"/>
  </si>
  <si>
    <t>비     고</t>
    <phoneticPr fontId="4" type="noConversion"/>
  </si>
  <si>
    <t>용     역     원     가</t>
    <phoneticPr fontId="26" type="noConversion"/>
  </si>
  <si>
    <t>1.</t>
    <phoneticPr fontId="26" type="noConversion"/>
  </si>
  <si>
    <t>직 접 재 료 비</t>
  </si>
  <si>
    <t>재</t>
  </si>
  <si>
    <t>간 접 재 료 비</t>
  </si>
  <si>
    <t>료</t>
  </si>
  <si>
    <t>비</t>
  </si>
  <si>
    <t>소    계</t>
  </si>
  <si>
    <t>2.</t>
    <phoneticPr fontId="26" type="noConversion"/>
  </si>
  <si>
    <t>기본급여</t>
    <phoneticPr fontId="26" type="noConversion"/>
  </si>
  <si>
    <t>인</t>
    <phoneticPr fontId="26" type="noConversion"/>
  </si>
  <si>
    <t>상여금</t>
    <phoneticPr fontId="26" type="noConversion"/>
  </si>
  <si>
    <t>제수당</t>
    <phoneticPr fontId="26" type="noConversion"/>
  </si>
  <si>
    <t>건</t>
    <phoneticPr fontId="26" type="noConversion"/>
  </si>
  <si>
    <t>퇴직급여충당금</t>
    <phoneticPr fontId="26" type="noConversion"/>
  </si>
  <si>
    <t>비</t>
    <phoneticPr fontId="26" type="noConversion"/>
  </si>
  <si>
    <t>3.</t>
    <phoneticPr fontId="26" type="noConversion"/>
  </si>
  <si>
    <t>산 재 보 험 료</t>
    <phoneticPr fontId="26" type="noConversion"/>
  </si>
  <si>
    <t>국민건강보험료</t>
    <phoneticPr fontId="26" type="noConversion"/>
  </si>
  <si>
    <t>경</t>
    <phoneticPr fontId="26" type="noConversion"/>
  </si>
  <si>
    <t>노인장기요양보험료</t>
    <phoneticPr fontId="26" type="noConversion"/>
  </si>
  <si>
    <t>국  민  연  금</t>
    <phoneticPr fontId="26" type="noConversion"/>
  </si>
  <si>
    <t>고 용 보 험 료</t>
    <phoneticPr fontId="26" type="noConversion"/>
  </si>
  <si>
    <t>임금채권보장기금</t>
    <phoneticPr fontId="26" type="noConversion"/>
  </si>
  <si>
    <t>4.</t>
    <phoneticPr fontId="26" type="noConversion"/>
  </si>
  <si>
    <t>5.</t>
    <phoneticPr fontId="26" type="noConversion"/>
  </si>
  <si>
    <t>총원가</t>
    <phoneticPr fontId="26" type="noConversion"/>
  </si>
  <si>
    <t>부가가치세(10.0%)</t>
    <phoneticPr fontId="26" type="noConversion"/>
  </si>
  <si>
    <t>총금액</t>
    <phoneticPr fontId="26" type="noConversion"/>
  </si>
  <si>
    <t>註) 총원가 : 10,000원 미만 절사</t>
    <phoneticPr fontId="4" type="noConversion"/>
  </si>
  <si>
    <t>일반관리비율</t>
    <phoneticPr fontId="26" type="noConversion"/>
  </si>
  <si>
    <t>이윤율</t>
    <phoneticPr fontId="26" type="noConversion"/>
  </si>
  <si>
    <t>[표 1-3] 인건비 집계표 참조</t>
    <phoneticPr fontId="4" type="noConversion"/>
  </si>
  <si>
    <t>[표 2] 경비 집계표 참조</t>
    <phoneticPr fontId="4" type="noConversion"/>
  </si>
  <si>
    <t>6.</t>
  </si>
  <si>
    <t>1. 인  건  비</t>
    <phoneticPr fontId="7" type="noConversion"/>
  </si>
  <si>
    <t>인건비 적용기준</t>
    <phoneticPr fontId="7" type="noConversion"/>
  </si>
  <si>
    <t>1. 기본급여</t>
    <phoneticPr fontId="4" type="noConversion"/>
  </si>
  <si>
    <t>2. 상 여 금</t>
    <phoneticPr fontId="4" type="noConversion"/>
  </si>
  <si>
    <t>1. 재 료 비</t>
    <phoneticPr fontId="4" type="noConversion"/>
  </si>
  <si>
    <t>3. 제 수 당</t>
    <phoneticPr fontId="4" type="noConversion"/>
  </si>
  <si>
    <t xml:space="preserve">   근로기준법 제34조 및 근로자퇴직급여보장법 제8조에 의거 계속근로기간 1년에 대하여30일분 이상의 평균임금을 퇴직금으로 지급되어야 함으로, 본 용역 산출에서는 기본급여, 상여금, 제수당 합계액의 1/12 즉, 100% 를 적용 계상하였다.</t>
    <phoneticPr fontId="16" type="noConversion"/>
  </si>
  <si>
    <t>4. 퇴직급여충단금</t>
    <phoneticPr fontId="4" type="noConversion"/>
  </si>
  <si>
    <t>직종별 소요인원 및 근로형태</t>
    <phoneticPr fontId="7" type="noConversion"/>
  </si>
  <si>
    <t>[표 1]</t>
    <phoneticPr fontId="4" type="noConversion"/>
  </si>
  <si>
    <t>인원</t>
  </si>
  <si>
    <t>투입인원</t>
  </si>
  <si>
    <t>비 고</t>
  </si>
  <si>
    <t>주간</t>
    <phoneticPr fontId="31" type="noConversion"/>
  </si>
  <si>
    <t>일근</t>
    <phoneticPr fontId="31" type="noConversion"/>
  </si>
  <si>
    <t>휴무</t>
    <phoneticPr fontId="31" type="noConversion"/>
  </si>
  <si>
    <t>휴무</t>
  </si>
  <si>
    <t>계</t>
    <phoneticPr fontId="31" type="noConversion"/>
  </si>
  <si>
    <t>주야</t>
  </si>
  <si>
    <t>직종별 인/주당 근로시간 산식표</t>
    <phoneticPr fontId="7" type="noConversion"/>
  </si>
  <si>
    <t>[표 1-1]</t>
    <phoneticPr fontId="4" type="noConversion"/>
  </si>
  <si>
    <t>기본근로시간</t>
    <phoneticPr fontId="31" type="noConversion"/>
  </si>
  <si>
    <t>hr</t>
    <phoneticPr fontId="4" type="noConversion"/>
  </si>
  <si>
    <t>주당 근로시간</t>
    <phoneticPr fontId="4" type="noConversion"/>
  </si>
  <si>
    <t>유급휴일</t>
  </si>
  <si>
    <t>휴무일
(2일)</t>
    <phoneticPr fontId="4" type="noConversion"/>
  </si>
  <si>
    <t>근로형태</t>
    <phoneticPr fontId="4" type="noConversion"/>
  </si>
  <si>
    <t>8hr*5일*1인</t>
    <phoneticPr fontId="4" type="noConversion"/>
  </si>
  <si>
    <t>8hr*1일*1인</t>
    <phoneticPr fontId="4" type="noConversion"/>
  </si>
  <si>
    <t>비고</t>
    <phoneticPr fontId="4" type="noConversion"/>
  </si>
  <si>
    <t>야간근로시간</t>
    <phoneticPr fontId="31" type="noConversion"/>
  </si>
  <si>
    <t>근로형태별 근로시간</t>
    <phoneticPr fontId="4" type="noConversion"/>
  </si>
  <si>
    <t>휴게시간</t>
    <phoneticPr fontId="4" type="noConversion"/>
  </si>
  <si>
    <t>휴게시간 1hr</t>
    <phoneticPr fontId="4" type="noConversion"/>
  </si>
  <si>
    <t>구     분</t>
    <phoneticPr fontId="4" type="noConversion"/>
  </si>
  <si>
    <t>계</t>
  </si>
  <si>
    <t>계</t>
    <phoneticPr fontId="4" type="noConversion"/>
  </si>
  <si>
    <t>인당 월평균 근로시간
[(365일÷7일)
÷12개월×계]</t>
    <phoneticPr fontId="4" type="noConversion"/>
  </si>
  <si>
    <t>근무형태</t>
    <phoneticPr fontId="4" type="noConversion"/>
  </si>
  <si>
    <t>[표 1-2]</t>
    <phoneticPr fontId="4" type="noConversion"/>
  </si>
  <si>
    <t>주간</t>
  </si>
  <si>
    <t>일근</t>
  </si>
  <si>
    <t>註) 요일별 주당 근로시간 : [표 1] 직종별 소요인원 및 근로형태 참조</t>
    <phoneticPr fontId="4" type="noConversion"/>
  </si>
  <si>
    <t>직종별 인/주당 근로시간 산출표</t>
    <phoneticPr fontId="7" type="noConversion"/>
  </si>
  <si>
    <t>[표 1-3]</t>
    <phoneticPr fontId="4" type="noConversion"/>
  </si>
  <si>
    <t>인건비 집계표</t>
    <phoneticPr fontId="7" type="noConversion"/>
  </si>
  <si>
    <t>구  분</t>
    <phoneticPr fontId="31" type="noConversion"/>
  </si>
  <si>
    <t>직 종 명</t>
    <phoneticPr fontId="31" type="noConversion"/>
  </si>
  <si>
    <t>기본급여</t>
    <phoneticPr fontId="31" type="noConversion"/>
  </si>
  <si>
    <t>상여금</t>
    <phoneticPr fontId="31" type="noConversion"/>
  </si>
  <si>
    <t>제수당</t>
    <phoneticPr fontId="31" type="noConversion"/>
  </si>
  <si>
    <t>퇴직급여충당금</t>
    <phoneticPr fontId="31" type="noConversion"/>
  </si>
  <si>
    <t>합    계</t>
    <phoneticPr fontId="31" type="noConversion"/>
  </si>
  <si>
    <t>단가
(1인당)</t>
    <phoneticPr fontId="31" type="noConversion"/>
  </si>
  <si>
    <t>인원</t>
    <phoneticPr fontId="31" type="noConversion"/>
  </si>
  <si>
    <t>금 액</t>
    <phoneticPr fontId="31" type="noConversion"/>
  </si>
  <si>
    <t>[표 1-4]</t>
    <phoneticPr fontId="4" type="noConversion"/>
  </si>
  <si>
    <t>월기본급여 산출표</t>
    <phoneticPr fontId="7" type="noConversion"/>
  </si>
  <si>
    <t>구  분</t>
  </si>
  <si>
    <t>적용단가/hr</t>
  </si>
  <si>
    <t>월근무시간(hr)</t>
  </si>
  <si>
    <t>적용인원</t>
  </si>
  <si>
    <t>월기본급여</t>
  </si>
  <si>
    <t>비   고</t>
  </si>
  <si>
    <t>註) 1. 기본급여 : [표 1-4] 월기본급여 산출표 참조</t>
    <phoneticPr fontId="4" type="noConversion"/>
  </si>
  <si>
    <t xml:space="preserve">     2. 상여금 : [표 1-5] 상여금 산출표 참조</t>
    <phoneticPr fontId="4" type="noConversion"/>
  </si>
  <si>
    <t xml:space="preserve">     3. 제수당 : [표 1-6] 제수당 집계표 참조</t>
    <phoneticPr fontId="4" type="noConversion"/>
  </si>
  <si>
    <t xml:space="preserve">     4. 퇴직급여충당금 : [표 1-7] 퇴직급여충당금 산출표 참조</t>
    <phoneticPr fontId="4" type="noConversion"/>
  </si>
  <si>
    <t>계</t>
    <phoneticPr fontId="4" type="noConversion"/>
  </si>
  <si>
    <t xml:space="preserve">     2. 월근무시간 : [표 1-2] 직종별 인/월평균 근로시간 산출표 참조</t>
    <phoneticPr fontId="4" type="noConversion"/>
  </si>
  <si>
    <t>상여금 산출표</t>
    <phoneticPr fontId="7" type="noConversion"/>
  </si>
  <si>
    <t>[표 1-5]</t>
    <phoneticPr fontId="4" type="noConversion"/>
  </si>
  <si>
    <t>연간상여지급률</t>
  </si>
  <si>
    <t>연간상여금</t>
  </si>
  <si>
    <t>월간상여금</t>
  </si>
  <si>
    <t>제수당 집계표</t>
    <phoneticPr fontId="7" type="noConversion"/>
  </si>
  <si>
    <t>[표 1-6]</t>
    <phoneticPr fontId="4" type="noConversion"/>
  </si>
  <si>
    <t>직종별 연차수당 산출표</t>
    <phoneticPr fontId="7" type="noConversion"/>
  </si>
  <si>
    <t>적용단가</t>
    <phoneticPr fontId="4" type="noConversion"/>
  </si>
  <si>
    <t>연차일수(연간)</t>
    <phoneticPr fontId="4" type="noConversion"/>
  </si>
  <si>
    <t xml:space="preserve">     2. 연금액 : 인원 × 연차일수(연간) × 적용단가</t>
    <phoneticPr fontId="4" type="noConversion"/>
  </si>
  <si>
    <t>연금액</t>
    <phoneticPr fontId="4" type="noConversion"/>
  </si>
  <si>
    <t>월금액</t>
    <phoneticPr fontId="4" type="noConversion"/>
  </si>
  <si>
    <t xml:space="preserve">     3. 월금액 : 연금액 ÷ 12개월</t>
    <phoneticPr fontId="4" type="noConversion"/>
  </si>
  <si>
    <t>퇴직급여충당금 산출표</t>
    <phoneticPr fontId="7" type="noConversion"/>
  </si>
  <si>
    <t>[표 1-7]</t>
    <phoneticPr fontId="4" type="noConversion"/>
  </si>
  <si>
    <t>[표 1-8]</t>
    <phoneticPr fontId="4" type="noConversion"/>
  </si>
  <si>
    <t>구     분</t>
    <phoneticPr fontId="16" type="noConversion"/>
  </si>
  <si>
    <t>대   상   액</t>
    <phoneticPr fontId="16" type="noConversion"/>
  </si>
  <si>
    <t>지급률</t>
    <phoneticPr fontId="16" type="noConversion"/>
  </si>
  <si>
    <t>월간퇴직금</t>
    <phoneticPr fontId="16" type="noConversion"/>
  </si>
  <si>
    <t>기본급여</t>
    <phoneticPr fontId="16" type="noConversion"/>
  </si>
  <si>
    <t>상여금</t>
    <phoneticPr fontId="16" type="noConversion"/>
  </si>
  <si>
    <t>제수당</t>
    <phoneticPr fontId="16" type="noConversion"/>
  </si>
  <si>
    <t>합   계</t>
    <phoneticPr fontId="16" type="noConversion"/>
  </si>
  <si>
    <t xml:space="preserve">     4. 연간퇴직금지급률 : 근로기준법 제34조 및 근로자퇴직급여보장법 제8조에 의거 100%적용</t>
    <phoneticPr fontId="4" type="noConversion"/>
  </si>
  <si>
    <t>적용직종 및 노임단가</t>
    <phoneticPr fontId="7" type="noConversion"/>
  </si>
  <si>
    <t>적용직종</t>
    <phoneticPr fontId="16" type="noConversion"/>
  </si>
  <si>
    <t xml:space="preserve">     2. 통계법 제17조 규정에 의한 통계작성 지정기관(대한건설협회, 중소기업중앙회)에서 조사공표한 내용에는</t>
  </si>
  <si>
    <t>적용단가(노임/hr)</t>
    <phoneticPr fontId="16" type="noConversion"/>
  </si>
  <si>
    <t>직 종 명</t>
    <phoneticPr fontId="4" type="noConversion"/>
  </si>
  <si>
    <t>시중노임단가</t>
    <phoneticPr fontId="4" type="noConversion"/>
  </si>
  <si>
    <t>노임/일</t>
    <phoneticPr fontId="4" type="noConversion"/>
  </si>
  <si>
    <t>노임/hr</t>
    <phoneticPr fontId="4" type="noConversion"/>
  </si>
  <si>
    <t>비             고</t>
    <phoneticPr fontId="4" type="noConversion"/>
  </si>
  <si>
    <t>비             고</t>
    <phoneticPr fontId="16" type="noConversion"/>
  </si>
  <si>
    <t>註) 노임/hr = 노임/일 ÷ 8hr/일</t>
    <phoneticPr fontId="4" type="noConversion"/>
  </si>
  <si>
    <t>단순노무종사원</t>
  </si>
  <si>
    <t>전기기능사</t>
  </si>
  <si>
    <t>* 중소기업중앙회 조사발표</t>
    <phoneticPr fontId="4" type="noConversion"/>
  </si>
  <si>
    <t>"</t>
    <phoneticPr fontId="4" type="noConversion"/>
  </si>
  <si>
    <t>[표 1-9]</t>
    <phoneticPr fontId="4" type="noConversion"/>
  </si>
  <si>
    <t xml:space="preserve">     2. 연간상여금 : 월기본급여 × 연간상여지급률 × 적용인원</t>
    <phoneticPr fontId="4" type="noConversion"/>
  </si>
  <si>
    <t>註) 1. 월기본급여 : [표 1-4] 월기본급여 산출표 참조</t>
    <phoneticPr fontId="4" type="noConversion"/>
  </si>
  <si>
    <t xml:space="preserve">     3. 월간상여금 : 연간상여금 ÷ 12개월</t>
    <phoneticPr fontId="4" type="noConversion"/>
  </si>
  <si>
    <t>註) 1. 적용단가/hr : [표 1-9] 적용직종 및 노임단가 참조</t>
    <phoneticPr fontId="4" type="noConversion"/>
  </si>
  <si>
    <t xml:space="preserve">     3. 월기본급여 : 적용단가 × 월근무시간 × 적용인원</t>
    <phoneticPr fontId="4" type="noConversion"/>
  </si>
  <si>
    <t>註) 1. 적용단가 : [표 1-10] 통상임금 산출표 참조</t>
    <phoneticPr fontId="4" type="noConversion"/>
  </si>
  <si>
    <t>통상임금 산출표</t>
    <phoneticPr fontId="7" type="noConversion"/>
  </si>
  <si>
    <t>구     분</t>
    <phoneticPr fontId="4" type="noConversion"/>
  </si>
  <si>
    <t>註) 1. 고용노동부 '통상임금 노사지도 지침(2014. 01. 23)'을 기준으로 산정한 통상임금으로 항목별 기준은 다음과 같다.</t>
  </si>
  <si>
    <t xml:space="preserve">      ① 기본급여 : 근로자가 소정근로시간에 통상적으로 제공하기로 정한 근로에 관하여 사용자와 근로자가 지급하기로 </t>
  </si>
  <si>
    <t xml:space="preserve">      ② 상여금 : 일정한 간격을 두고 계속적으로 지급되는 상여금 이라면 '정기성' 요건은 충족되지만, 지급일 특정시점에 </t>
  </si>
  <si>
    <t xml:space="preserve">      ③ 통상적수당 : 정기적·일률적·고정적으로 지급되어지는 수당으로 기술수당, 근속수당, 가족수당(부양가족 수와 </t>
  </si>
  <si>
    <t xml:space="preserve">          관계없이 모든 근로자에게 지급되는 수당), 성과급(최소한도가 보장되는 성과급), 복리후생수당(교통비, 급식비), </t>
  </si>
  <si>
    <t xml:space="preserve">       ※ 통상임금 : 근로자에게 정기적·일률적·고정적으로 지급되는 임금으로서, 연장 · 야간 · 휴일근로 및 연차수당의 </t>
  </si>
  <si>
    <t xml:space="preserve">           법정수당 산정의 기준이 됨 [근로기준법, 고용노동부 '통상임금 노사지도 지침(2014. 01. 23)' 참조]</t>
  </si>
  <si>
    <t xml:space="preserve">     2. 통상임금(hr) : 계 ÷ 근로시간</t>
  </si>
  <si>
    <t xml:space="preserve">          약정한 금품 - [표 1-3] 인건비 집계표 참조</t>
    <phoneticPr fontId="4" type="noConversion"/>
  </si>
  <si>
    <t>기본급여
(월)</t>
  </si>
  <si>
    <t>상여금
(월)</t>
  </si>
  <si>
    <t>통상적수당
(월)</t>
  </si>
  <si>
    <t>근로시간
(월)</t>
  </si>
  <si>
    <t>통상임금
(hr)</t>
  </si>
  <si>
    <t>통상임금
(일)</t>
  </si>
  <si>
    <t>[표 1-10]</t>
    <phoneticPr fontId="4" type="noConversion"/>
  </si>
  <si>
    <t>수량</t>
    <phoneticPr fontId="4" type="noConversion"/>
  </si>
  <si>
    <t>연차수당</t>
  </si>
  <si>
    <t>소계</t>
    <phoneticPr fontId="4" type="noConversion"/>
  </si>
  <si>
    <t>휴일근로수당</t>
    <phoneticPr fontId="4" type="noConversion"/>
  </si>
  <si>
    <t>연장근로수당</t>
  </si>
  <si>
    <t>야간근로수당</t>
  </si>
  <si>
    <t xml:space="preserve">       - 야간근로 : 통상임금(시간급) × 50%</t>
  </si>
  <si>
    <t xml:space="preserve">      2. 적용수량</t>
  </si>
  <si>
    <t xml:space="preserve">       - 연차 : [표 1-7] 직종별 연차수당 산출표 참조</t>
    <phoneticPr fontId="4" type="noConversion"/>
  </si>
  <si>
    <t xml:space="preserve"> 註) 1. 적용단가 : [표 1-10] 통상임금 산출표 참조</t>
    <phoneticPr fontId="4" type="noConversion"/>
  </si>
  <si>
    <t>경비 적용기준</t>
    <phoneticPr fontId="7" type="noConversion"/>
  </si>
  <si>
    <t>1. 경비의 비목 구분</t>
    <phoneticPr fontId="4" type="noConversion"/>
  </si>
  <si>
    <t>2. 경비의 비목별 산정 기준</t>
    <phoneticPr fontId="4" type="noConversion"/>
  </si>
  <si>
    <t xml:space="preserve"> 1) 보험 및 기타연기금</t>
    <phoneticPr fontId="4" type="noConversion"/>
  </si>
  <si>
    <t xml:space="preserve"> 2) 복리후생비</t>
    <phoneticPr fontId="4" type="noConversion"/>
  </si>
  <si>
    <t xml:space="preserve"> 3) 소모품비</t>
    <phoneticPr fontId="4" type="noConversion"/>
  </si>
  <si>
    <t xml:space="preserve">   소모품비는 사무실 운영에 필요한 일반소모품에 대한 비용으로 舊(사)한국건축물유지관리협회 기준에 의거 기본급의 0.8%를 적용하였다.</t>
    <phoneticPr fontId="16" type="noConversion"/>
  </si>
  <si>
    <t>2. 경      비</t>
    <phoneticPr fontId="7" type="noConversion"/>
  </si>
  <si>
    <t>구   분</t>
    <phoneticPr fontId="4" type="noConversion"/>
  </si>
  <si>
    <t>비   고</t>
    <phoneticPr fontId="4" type="noConversion"/>
  </si>
  <si>
    <t>보험 및 기타연기금</t>
    <phoneticPr fontId="31" type="noConversion"/>
  </si>
  <si>
    <t>산재보험료</t>
    <phoneticPr fontId="31" type="noConversion"/>
  </si>
  <si>
    <t>국민건강보험료</t>
    <phoneticPr fontId="31" type="noConversion"/>
  </si>
  <si>
    <t>노인장기요양보험료</t>
    <phoneticPr fontId="31" type="noConversion"/>
  </si>
  <si>
    <t>국민연금</t>
    <phoneticPr fontId="31" type="noConversion"/>
  </si>
  <si>
    <t>고용보험료</t>
    <phoneticPr fontId="31" type="noConversion"/>
  </si>
  <si>
    <t>임금채권보장기금</t>
    <phoneticPr fontId="31" type="noConversion"/>
  </si>
  <si>
    <t>소계</t>
    <phoneticPr fontId="31" type="noConversion"/>
  </si>
  <si>
    <t>계</t>
    <phoneticPr fontId="31" type="noConversion"/>
  </si>
  <si>
    <t>[표 2]</t>
    <phoneticPr fontId="4" type="noConversion"/>
  </si>
  <si>
    <t>경비 집계표</t>
    <phoneticPr fontId="7" type="noConversion"/>
  </si>
  <si>
    <t>석면피해구제분담금</t>
    <phoneticPr fontId="26" type="noConversion"/>
  </si>
  <si>
    <t>산재보험료 산출표</t>
    <phoneticPr fontId="7" type="noConversion"/>
  </si>
  <si>
    <t>[표 2-1-1]</t>
    <phoneticPr fontId="4" type="noConversion"/>
  </si>
  <si>
    <t>구  분</t>
    <phoneticPr fontId="16" type="noConversion"/>
  </si>
  <si>
    <t>요율
(%)</t>
    <phoneticPr fontId="31" type="noConversion"/>
  </si>
  <si>
    <t>적용대상액</t>
    <phoneticPr fontId="16" type="noConversion"/>
  </si>
  <si>
    <t>금 액</t>
    <phoneticPr fontId="31" type="noConversion"/>
  </si>
  <si>
    <t>기본급여</t>
    <phoneticPr fontId="31" type="noConversion"/>
  </si>
  <si>
    <t>상여금</t>
    <phoneticPr fontId="31" type="noConversion"/>
  </si>
  <si>
    <t>제수당</t>
    <phoneticPr fontId="31" type="noConversion"/>
  </si>
  <si>
    <t>국민건강보험료 산출표</t>
    <phoneticPr fontId="7" type="noConversion"/>
  </si>
  <si>
    <t>[표 2-1-2]</t>
    <phoneticPr fontId="4" type="noConversion"/>
  </si>
  <si>
    <t>[표 2-1-3]</t>
    <phoneticPr fontId="4" type="noConversion"/>
  </si>
  <si>
    <t>[표 2-1-4]</t>
    <phoneticPr fontId="4" type="noConversion"/>
  </si>
  <si>
    <t>노인장기요양보험료 산출표</t>
    <phoneticPr fontId="7" type="noConversion"/>
  </si>
  <si>
    <t>국민연금 산출표</t>
    <phoneticPr fontId="7" type="noConversion"/>
  </si>
  <si>
    <t>국민건강보험료</t>
    <phoneticPr fontId="31" type="noConversion"/>
  </si>
  <si>
    <t xml:space="preserve">     2. 요율(%) : 노인장기요양보험법 시행령 제4조</t>
    <phoneticPr fontId="4" type="noConversion"/>
  </si>
  <si>
    <t xml:space="preserve">     3. 금액 : 적용대상액 계 × 요율(%)</t>
    <phoneticPr fontId="4" type="noConversion"/>
  </si>
  <si>
    <t>註) 1. 적용대상액 : [표 2-1-2] 국민건강보험료 산출표 참조</t>
    <phoneticPr fontId="4" type="noConversion"/>
  </si>
  <si>
    <t>註) 1. 적용대상액 : [표 1-3] 인건비 집계표 참조</t>
    <phoneticPr fontId="4" type="noConversion"/>
  </si>
  <si>
    <t xml:space="preserve">     2. 요율(%) : 국민건강보험법 시행령 제44조</t>
    <phoneticPr fontId="4" type="noConversion"/>
  </si>
  <si>
    <t xml:space="preserve">     2. 요율(%) : 고용노동부고시 제2016-57호, 기타의 사업중 "건물등의 종합관리사업" 적용</t>
    <phoneticPr fontId="4" type="noConversion"/>
  </si>
  <si>
    <t xml:space="preserve">     2. 요율(%) : 국민연금법 제88조</t>
    <phoneticPr fontId="4" type="noConversion"/>
  </si>
  <si>
    <t>고용보험료 산출표</t>
    <phoneticPr fontId="7" type="noConversion"/>
  </si>
  <si>
    <t xml:space="preserve">     2. 요율(%) : 고용보험 및 산업재해보상보험의 보험료 징수에 관한 법률 시행령 제12조</t>
    <phoneticPr fontId="4" type="noConversion"/>
  </si>
  <si>
    <t xml:space="preserve">     3. 금액 : 적용대상액 × 요율(%)</t>
    <phoneticPr fontId="4" type="noConversion"/>
  </si>
  <si>
    <t>[표 2-1-5]</t>
    <phoneticPr fontId="4" type="noConversion"/>
  </si>
  <si>
    <t>임금채권보장기금 산출표</t>
    <phoneticPr fontId="7" type="noConversion"/>
  </si>
  <si>
    <t>[표 2-1-6]</t>
    <phoneticPr fontId="4" type="noConversion"/>
  </si>
  <si>
    <t>석면피해구제분담금 산출표</t>
    <phoneticPr fontId="7" type="noConversion"/>
  </si>
  <si>
    <t>[표 2-1-7]</t>
    <phoneticPr fontId="4" type="noConversion"/>
  </si>
  <si>
    <t xml:space="preserve">     2. 요율(%) : 석면피해구제법 제31조, 환경부고시 제2016-257호(2016. 12. 30.)</t>
    <phoneticPr fontId="4" type="noConversion"/>
  </si>
  <si>
    <t xml:space="preserve">     2. 요율(%) : 임금채권보장법 제9조, 고용노동부고시 제2015-95호(2015. 12. 24.)</t>
    <phoneticPr fontId="4" type="noConversion"/>
  </si>
  <si>
    <t>[표 2-1]</t>
    <phoneticPr fontId="4" type="noConversion"/>
  </si>
  <si>
    <t>보험 및 기타연기금 집계표</t>
    <phoneticPr fontId="7" type="noConversion"/>
  </si>
  <si>
    <t>산재보험료</t>
  </si>
  <si>
    <t>국민건강보험료</t>
  </si>
  <si>
    <t>노인장기요양보험료</t>
  </si>
  <si>
    <t>국민연금</t>
  </si>
  <si>
    <t>고용보험료</t>
  </si>
  <si>
    <t>임금채권보장기금</t>
  </si>
  <si>
    <t>석면피해구제분담금</t>
  </si>
  <si>
    <t>註) 1. 산재보험료 : [표 2-1-1] 산재보험료 산출표 참조</t>
  </si>
  <si>
    <t xml:space="preserve">     2. 국민건강보험료 : [표 2-1-2] 국민건강보험료 산출표 참조</t>
  </si>
  <si>
    <t xml:space="preserve">     3. 노인장기요양보험료 : [표 2-1-3] 노인장기요양보험료 산출표 참조</t>
  </si>
  <si>
    <t xml:space="preserve">     4. 국민연금 : [표 2-1-4] 국민연금 산출표 참조</t>
  </si>
  <si>
    <t xml:space="preserve">     5. 고용보험료 : [표 2-1-5] 고용보험료 산출표 참조</t>
  </si>
  <si>
    <t xml:space="preserve">     6. 임금채권보장기금 : [표 2-1-6] 임금채권보장기금 산출표 참조</t>
  </si>
  <si>
    <t xml:space="preserve">     7. 석면피해구제분담금 : [표 2-1-7] 석면피해구제분담금 산출표 참조</t>
  </si>
  <si>
    <t>직종별 집계표</t>
    <phoneticPr fontId="7" type="noConversion"/>
  </si>
  <si>
    <t>단위 : 원/월</t>
    <phoneticPr fontId="4" type="noConversion"/>
  </si>
  <si>
    <t>총 금 액</t>
    <phoneticPr fontId="4" type="noConversion"/>
  </si>
  <si>
    <t>재료비</t>
    <phoneticPr fontId="4" type="noConversion"/>
  </si>
  <si>
    <t>인건비</t>
    <phoneticPr fontId="4" type="noConversion"/>
  </si>
  <si>
    <t>기본급여</t>
  </si>
  <si>
    <t>상여금</t>
  </si>
  <si>
    <t>제수당</t>
  </si>
  <si>
    <t>퇴직급여충당금</t>
  </si>
  <si>
    <t>註) 1. 인건비 : [표 1-3] 인건비 집계표 참조</t>
    <phoneticPr fontId="4" type="noConversion"/>
  </si>
  <si>
    <t>소     계</t>
    <phoneticPr fontId="4" type="noConversion"/>
  </si>
  <si>
    <t>보험및복리후생비</t>
  </si>
  <si>
    <t>구     분</t>
    <phoneticPr fontId="31" type="noConversion"/>
  </si>
  <si>
    <t>비   고</t>
    <phoneticPr fontId="4" type="noConversion"/>
  </si>
  <si>
    <t>목         차</t>
    <phoneticPr fontId="7" type="noConversion"/>
  </si>
  <si>
    <t>2. 경     비  ---------------------------------</t>
    <phoneticPr fontId="4" type="noConversion"/>
  </si>
  <si>
    <t>1. 인 건 비  ---------------------------------</t>
    <phoneticPr fontId="4" type="noConversion"/>
  </si>
  <si>
    <r>
      <rPr>
        <b/>
        <sz val="24"/>
        <rFont val="바탕체"/>
        <family val="1"/>
        <charset val="129"/>
      </rPr>
      <t>Ⅰ</t>
    </r>
    <r>
      <rPr>
        <b/>
        <sz val="24"/>
        <rFont val="HY수평선B"/>
        <family val="1"/>
        <charset val="129"/>
      </rPr>
      <t>. 예정원가 조사 보고서 (본문)</t>
    </r>
    <phoneticPr fontId="7" type="noConversion"/>
  </si>
  <si>
    <r>
      <rPr>
        <sz val="11"/>
        <color theme="1"/>
        <rFont val="바탕체"/>
        <family val="1"/>
        <charset val="129"/>
      </rPr>
      <t>Ⅰ</t>
    </r>
    <r>
      <rPr>
        <sz val="11"/>
        <color theme="1"/>
        <rFont val="HY수평선B"/>
        <family val="1"/>
        <charset val="129"/>
      </rPr>
      <t>. 예정원가 조사 보고서 (본문)  -------------------------</t>
    </r>
    <phoneticPr fontId="4" type="noConversion"/>
  </si>
  <si>
    <r>
      <rPr>
        <sz val="11"/>
        <color theme="1"/>
        <rFont val="바탕체"/>
        <family val="1"/>
        <charset val="129"/>
      </rPr>
      <t>Ⅱ</t>
    </r>
    <r>
      <rPr>
        <sz val="11"/>
        <color theme="1"/>
        <rFont val="HY수평선B"/>
        <family val="1"/>
        <charset val="129"/>
      </rPr>
      <t>. 원가조사의 개요  --------------------------------</t>
    </r>
    <phoneticPr fontId="4" type="noConversion"/>
  </si>
  <si>
    <r>
      <rPr>
        <sz val="11"/>
        <color theme="1"/>
        <rFont val="바탕체"/>
        <family val="1"/>
        <charset val="129"/>
      </rPr>
      <t>Ⅲ</t>
    </r>
    <r>
      <rPr>
        <sz val="11"/>
        <color theme="1"/>
        <rFont val="HY수평선B"/>
        <family val="1"/>
        <charset val="129"/>
      </rPr>
      <t>. 원가산정의 기준  --------------------------------</t>
    </r>
    <phoneticPr fontId="4" type="noConversion"/>
  </si>
  <si>
    <r>
      <rPr>
        <sz val="11"/>
        <color theme="1"/>
        <rFont val="바탕체"/>
        <family val="1"/>
        <charset val="129"/>
      </rPr>
      <t>Ⅴ</t>
    </r>
    <r>
      <rPr>
        <sz val="11"/>
        <color theme="1"/>
        <rFont val="HY수평선B"/>
        <family val="1"/>
        <charset val="129"/>
      </rPr>
      <t>. 원 가 계 산 서  ---------------------------------</t>
    </r>
    <phoneticPr fontId="4" type="noConversion"/>
  </si>
  <si>
    <r>
      <rPr>
        <sz val="11"/>
        <color theme="1"/>
        <rFont val="바탕체"/>
        <family val="1"/>
        <charset val="129"/>
      </rPr>
      <t>Ⅵ</t>
    </r>
    <r>
      <rPr>
        <sz val="11"/>
        <color theme="1"/>
        <rFont val="HY수평선B"/>
        <family val="1"/>
        <charset val="129"/>
      </rPr>
      <t>. 참 고 자 료  -----------------------------------</t>
    </r>
    <phoneticPr fontId="4" type="noConversion"/>
  </si>
  <si>
    <t xml:space="preserve">          재직 중인 근로자에게 한정할 경우에는 '고정성'이 없으므로 통상임금에서 제외되는 것으로, 본 용역의 상여금은 </t>
    <phoneticPr fontId="4" type="noConversion"/>
  </si>
  <si>
    <t xml:space="preserve">   일반관리비는 예정가격 작성기준 제28조(일반관리비등) 제1항에 의거 일반관리비율 9%를 초과할 수 없음과 한국은행의 운영계획에 의거 3%를 재료비, 인건비, 경비의 합계액에 승하여 계상하였다.</t>
    <phoneticPr fontId="16" type="noConversion"/>
  </si>
  <si>
    <t xml:space="preserve">   이윤은 지방자치단체 입찰 및 계약 집행기준 제2장 예정가격 작성요령 제5관 그 밖의 용역의 원가계산에 의거 용역업의 이윤율 10%를 인건비, 경비, 일반관리비의 합계액에 승하여 계상하였다.</t>
    <phoneticPr fontId="16" type="noConversion"/>
  </si>
  <si>
    <t xml:space="preserve">   일반관리비는 지방자치단체 입찰 및 계약 집행기준 제2장 예정가격 작성요령 제5관 그 밖의 용역의 원가계산 및 지방자치단체를 당사자로 하는 계약에 관한 법률 시행규칙 제8조에 시설물 관리·경비 및 청소 용역의 일반관리비율 9%를 인건비, 경비의 합계액에 승하여 계상하였다.</t>
    <phoneticPr fontId="16" type="noConversion"/>
  </si>
  <si>
    <t xml:space="preserve">   관리운영에 필요한 재료는(시설물에 대한 운전, 관리, 보전, 보수에 소요되는 부속품, 자재 또는 물품) 경기도시공사에서 지급하는 조건이므로 본 용역에서는 산정 제외하였다.</t>
    <phoneticPr fontId="16" type="noConversion"/>
  </si>
  <si>
    <t>합   계</t>
    <phoneticPr fontId="4" type="noConversion"/>
  </si>
  <si>
    <t>경비원</t>
  </si>
  <si>
    <t xml:space="preserve">      5. 월금액(야간근로수당) : 적용단가 × 수량 × 적용인원 </t>
    <phoneticPr fontId="4" type="noConversion"/>
  </si>
  <si>
    <t>금   액</t>
    <phoneticPr fontId="4" type="noConversion"/>
  </si>
  <si>
    <t>위치</t>
    <phoneticPr fontId="4" type="noConversion"/>
  </si>
  <si>
    <t>세    부    내    용</t>
    <phoneticPr fontId="4" type="noConversion"/>
  </si>
  <si>
    <t>부   문</t>
    <phoneticPr fontId="4" type="noConversion"/>
  </si>
  <si>
    <t>인원(명)</t>
    <phoneticPr fontId="4" type="noConversion"/>
  </si>
  <si>
    <t>비고(근무시간)</t>
    <phoneticPr fontId="4" type="noConversion"/>
  </si>
  <si>
    <t>총  원</t>
    <phoneticPr fontId="4" type="noConversion"/>
  </si>
  <si>
    <t xml:space="preserve">   보험료중 산업재해보상보험료는 고용노동부고시 제2016-57호(2017년 1월 1일부터 시행)에 의거 9. 기타의 사업부분중 '건물 등의 종합관리사업' 요율인 1000분의 16를 기본급, 상여금, 제수당의 합계에 승하여계상하였으며, 국민건강보험료는 국민건강보험법 시행령 제44조에 의거 사업자부담요율 1000분의 30.6를,노인장기요양보험료은 노인장기요양보험법 시행령 제4조에 의거 건강보험료 금액의 1000분의 65.5를, 국민연금은 국민연금법 제88조에 의거 사업자부담요율 1000분의 45를, 고용보험은 고용보험 및 산업재해보상보험의 징수에 관한 법률 시행령 제12조에 의거하여 1000분의9를, 임금채권보장기금은 임금채권보장법제9조 및 고용노동부고시 제2015-95호에 의거하여 1000분의 0.6을 적용하였다.</t>
    <phoneticPr fontId="16" type="noConversion"/>
  </si>
  <si>
    <t>1. 인 건 비</t>
    <phoneticPr fontId="4" type="noConversion"/>
  </si>
  <si>
    <t>2. 경     비</t>
    <phoneticPr fontId="4" type="noConversion"/>
  </si>
  <si>
    <t>3. 일반관리비</t>
    <phoneticPr fontId="4" type="noConversion"/>
  </si>
  <si>
    <t>4. 이     윤</t>
    <phoneticPr fontId="4" type="noConversion"/>
  </si>
  <si>
    <t xml:space="preserve">   따복하우스 임대홍보관 관리운영을 수행하는 인원에 대한 복리후생비는 피복비(근무복 연 1회, 방한복 연 1회, 근무화 연 1회) 및 급식비를 계상하였다.</t>
    <phoneticPr fontId="16" type="noConversion"/>
  </si>
  <si>
    <t>2017년  11월</t>
    <phoneticPr fontId="14" type="noConversion"/>
  </si>
  <si>
    <t xml:space="preserve"> 경기문화재단 대표이사  귀하</t>
    <phoneticPr fontId="4" type="noConversion"/>
  </si>
  <si>
    <t xml:space="preserve">   당 기관에서는 경기문화재단에서 의뢰하신 하기 건명에 대하여 지방자치단체 입찰 및 계약 집행기준(행정안전부 예규 제1호, 2017. 07. 26.)에 의거 산출한 금액은 아래와 같습니다.</t>
    <phoneticPr fontId="7" type="noConversion"/>
  </si>
  <si>
    <t>과업지시서 참고</t>
    <phoneticPr fontId="4" type="noConversion"/>
  </si>
  <si>
    <t xml:space="preserve">   2017년 11월</t>
    <phoneticPr fontId="16" type="noConversion"/>
  </si>
  <si>
    <t xml:space="preserve">   본 원가조사는 지방자치단체 입찰 및 계약 집행기준(행정안전부 예규 제1호, 2017. 07. 26., 이하 입찰 및 계약 집행기준) 제2장 예정가격 작성요령에 의거 비목별로 산출하였으며 그 기준은 다음과 같다.</t>
    <phoneticPr fontId="4" type="noConversion"/>
  </si>
  <si>
    <r>
      <rPr>
        <b/>
        <sz val="24"/>
        <rFont val="바탕체"/>
        <family val="1"/>
        <charset val="129"/>
      </rPr>
      <t>Ⅳ</t>
    </r>
    <r>
      <rPr>
        <b/>
        <sz val="24"/>
        <rFont val="HY수평선B"/>
        <family val="1"/>
        <charset val="129"/>
      </rPr>
      <t>. 시설관리용역의 개요</t>
    </r>
    <phoneticPr fontId="7" type="noConversion"/>
  </si>
  <si>
    <t xml:space="preserve">   본 원가조사는 경기상상캠퍼스 시설관리용역에 대하여 전문용역업체에서 위탁 관리하는 것으로 산정하였다.</t>
    <phoneticPr fontId="4" type="noConversion"/>
  </si>
  <si>
    <t>경기도 수원시 권선구 서둔로200번길 23 내 경기상상캠퍼스</t>
    <phoneticPr fontId="4" type="noConversion"/>
  </si>
  <si>
    <t>규모</t>
    <phoneticPr fontId="4" type="noConversion"/>
  </si>
  <si>
    <t>건축물 5개동 외 외부</t>
    <phoneticPr fontId="4" type="noConversion"/>
  </si>
  <si>
    <t>생활1980</t>
    <phoneticPr fontId="4" type="noConversion"/>
  </si>
  <si>
    <t>청년1981</t>
    <phoneticPr fontId="4" type="noConversion"/>
  </si>
  <si>
    <t>공작1967</t>
    <phoneticPr fontId="4" type="noConversion"/>
  </si>
  <si>
    <t>경기생생공화국</t>
    <phoneticPr fontId="4" type="noConversion"/>
  </si>
  <si>
    <t>융복합문화공유플랫폼</t>
    <phoneticPr fontId="4" type="noConversion"/>
  </si>
  <si>
    <t>외부</t>
    <phoneticPr fontId="4" type="noConversion"/>
  </si>
  <si>
    <t>3,696m2(지하 1층, 지상 3층)</t>
    <phoneticPr fontId="4" type="noConversion"/>
  </si>
  <si>
    <t>2,977m2(지상 2층)</t>
    <phoneticPr fontId="4" type="noConversion"/>
  </si>
  <si>
    <t>680m2(지상 1층)</t>
    <phoneticPr fontId="4" type="noConversion"/>
  </si>
  <si>
    <t>2,997m2(지상 3층)</t>
    <phoneticPr fontId="4" type="noConversion"/>
  </si>
  <si>
    <t>1,310m2(지상 2층)</t>
    <phoneticPr fontId="4" type="noConversion"/>
  </si>
  <si>
    <t>152,070m2</t>
    <phoneticPr fontId="4" type="noConversion"/>
  </si>
  <si>
    <t>1. 용역의 위탁 형태</t>
    <phoneticPr fontId="4" type="noConversion"/>
  </si>
  <si>
    <t>시설반장</t>
  </si>
  <si>
    <t>시설반장</t>
    <phoneticPr fontId="4" type="noConversion"/>
  </si>
  <si>
    <t>기계담당</t>
  </si>
  <si>
    <t>기계담당</t>
    <phoneticPr fontId="4" type="noConversion"/>
  </si>
  <si>
    <t>기계담당</t>
    <phoneticPr fontId="4" type="noConversion"/>
  </si>
  <si>
    <t>전기담당</t>
  </si>
  <si>
    <t>전기담당</t>
    <phoneticPr fontId="4" type="noConversion"/>
  </si>
  <si>
    <t>영선담당</t>
  </si>
  <si>
    <t>영선담당</t>
    <phoneticPr fontId="4" type="noConversion"/>
  </si>
  <si>
    <t>조경담당</t>
  </si>
  <si>
    <t>조경담당</t>
    <phoneticPr fontId="4" type="noConversion"/>
  </si>
  <si>
    <t>시설부문</t>
    <phoneticPr fontId="4" type="noConversion"/>
  </si>
  <si>
    <t>미화부문</t>
    <phoneticPr fontId="4" type="noConversion"/>
  </si>
  <si>
    <t>경비부문</t>
    <phoneticPr fontId="4" type="noConversion"/>
  </si>
  <si>
    <t>미화반장</t>
  </si>
  <si>
    <t>미화반장</t>
    <phoneticPr fontId="4" type="noConversion"/>
  </si>
  <si>
    <t>경비반장</t>
  </si>
  <si>
    <t>경비반장</t>
    <phoneticPr fontId="4" type="noConversion"/>
  </si>
  <si>
    <t>경비원</t>
    <phoneticPr fontId="4" type="noConversion"/>
  </si>
  <si>
    <t xml:space="preserve">         당해직종이 없어, 지방자치단체 입찰 및 계약 집행기준(행정안전부 예규 제1호, 2017. 07. 26)에 따라 중</t>
  </si>
  <si>
    <t xml:space="preserve">         소기업중앙회에서 공표한 2018년도 적용 제조부문 노임단가중 해당 업무와 가장 유사한 직종으로 공표된</t>
  </si>
  <si>
    <t xml:space="preserve">         전기분야의 자격별 노임단가를 기준으로 적용하였다. [분야에 관계없이 직급별로 동일하게 지급되어지는</t>
  </si>
  <si>
    <t>註) 1. 중소기업중앙회발표 2018년도 적용 제조부문 노임단가 기준</t>
    <phoneticPr fontId="4" type="noConversion"/>
  </si>
  <si>
    <t>&lt;참고&gt; 2018년 적용 직종별 노임단가</t>
    <phoneticPr fontId="4" type="noConversion"/>
  </si>
  <si>
    <t>8.</t>
  </si>
  <si>
    <t>7.</t>
  </si>
  <si>
    <t>6. × 10.0%</t>
    <phoneticPr fontId="4" type="noConversion"/>
  </si>
  <si>
    <t>6. + 7.</t>
    <phoneticPr fontId="4" type="noConversion"/>
  </si>
  <si>
    <t>5. 부가가치세</t>
    <phoneticPr fontId="4" type="noConversion"/>
  </si>
  <si>
    <t xml:space="preserve">   시설관리에 필요한 경비는 관련법률로 규정된 각종보험료 및 연기금을 적용 산정하였다.</t>
    <phoneticPr fontId="16" type="noConversion"/>
  </si>
  <si>
    <t>註) 보험 및 기타연기금 : [표 2-1] 보험 및 기타연기금 집계표 참조</t>
    <phoneticPr fontId="4" type="noConversion"/>
  </si>
  <si>
    <t>월금액
×12개월</t>
    <phoneticPr fontId="4" type="noConversion"/>
  </si>
  <si>
    <t>미화원(남·여)</t>
  </si>
  <si>
    <t>미화원(남·여)</t>
    <phoneticPr fontId="4" type="noConversion"/>
  </si>
  <si>
    <t xml:space="preserve">     2. 경비 : [표 2-1] 보험 및 기타연기금 집계표 참조</t>
    <phoneticPr fontId="4" type="noConversion"/>
  </si>
  <si>
    <t xml:space="preserve">   근로기준법 제60조에 의거 연차유급휴가 15일/연에 대하여 일당 통상임금을 승하여 연차수당을 계상, 비상상황 발생 등으로 인한 야간 출동업무 및 교대근무를 하는 근무자의 경우 야간근로(오후10시~익일 오전 06시까지 사이의근로)를 해야하므로 근로기준법 제56조에 따라 야간근로수당을 계상, 근로자의날제정에관한법률의 기준에 의거 근로자의 날 유급휴일에 대하여 휴일수당을 계상하였다.</t>
    <phoneticPr fontId="16" type="noConversion"/>
  </si>
  <si>
    <t xml:space="preserve">   경기상상캠퍼스 시설관리용역의 용역인원 노임단가는 중소기업중앙회에서 공표한 2018년도 적용 제조부문 노임단가를 기준으로 적용하였다.</t>
    <phoneticPr fontId="16" type="noConversion"/>
  </si>
  <si>
    <t>경기상상캠퍼스
시설관리용역
(시설, 미화, 경비)</t>
    <phoneticPr fontId="4" type="noConversion"/>
  </si>
  <si>
    <t xml:space="preserve">   본 원가조사는 경기문화재단으로부터 위촉받아 "경기상상캠퍼스 시설관리용역(시설, 미화, 경비)"에 대한 추정금액을 산출 보고함으로써, 경기문화재단의 예정가격 결정 등 입찰·계약관련 업무에 적용할 기초자료를 제공하는데 그 목적이 있다.</t>
    <phoneticPr fontId="16" type="noConversion"/>
  </si>
  <si>
    <t xml:space="preserve">   당 기관에서 시행한 경기문화재단의 "경기상상캠퍼스 시설관리용역(시설, 미화, 경비)"에 대한 추정금액은 조사일 현재를 기준하였음으로 제 여건의 변동시에는 이에 대한 고려가 있어야 할 것이며, 조사결과는 원가계산서와 같다.</t>
    <phoneticPr fontId="16" type="noConversion"/>
  </si>
  <si>
    <t>▣ 건   명 : 경기상상캠퍼스 시설관리용역(시설, 미화, 경비)</t>
    <phoneticPr fontId="26" type="noConversion"/>
  </si>
  <si>
    <t>작업반장</t>
  </si>
  <si>
    <t>전기기능사</t>
    <phoneticPr fontId="4" type="noConversion"/>
  </si>
  <si>
    <t>전기산업기사</t>
  </si>
  <si>
    <t>전기산업기사</t>
    <phoneticPr fontId="4" type="noConversion"/>
  </si>
  <si>
    <t>09:00~18:00</t>
    <phoneticPr fontId="31" type="noConversion"/>
  </si>
  <si>
    <t>근무일</t>
  </si>
  <si>
    <t>근무일</t>
    <phoneticPr fontId="31" type="noConversion"/>
  </si>
  <si>
    <t>휴무일</t>
  </si>
  <si>
    <t>휴무일</t>
    <phoneticPr fontId="31" type="noConversion"/>
  </si>
  <si>
    <t>3교대근무</t>
    <phoneticPr fontId="31" type="noConversion"/>
  </si>
  <si>
    <t>야간</t>
    <phoneticPr fontId="4" type="noConversion"/>
  </si>
  <si>
    <t>경비반장
경비원</t>
    <phoneticPr fontId="31" type="noConversion"/>
  </si>
  <si>
    <t>시설부문</t>
    <phoneticPr fontId="31" type="noConversion"/>
  </si>
  <si>
    <t>미화부문</t>
    <phoneticPr fontId="31" type="noConversion"/>
  </si>
  <si>
    <t>경비부문</t>
    <phoneticPr fontId="31" type="noConversion"/>
  </si>
  <si>
    <t>미화반장</t>
    <phoneticPr fontId="31" type="noConversion"/>
  </si>
  <si>
    <t>미화원(남·여)</t>
    <phoneticPr fontId="4" type="noConversion"/>
  </si>
  <si>
    <t>휴게시간 1hr</t>
  </si>
  <si>
    <t>註) 근로형태별 투입인원 : 경기문화재단 과업지시서 및 운영계획 기준</t>
    <phoneticPr fontId="4" type="noConversion"/>
  </si>
  <si>
    <t>시설반장</t>
    <phoneticPr fontId="31" type="noConversion"/>
  </si>
  <si>
    <t>전기담당</t>
    <phoneticPr fontId="4" type="noConversion"/>
  </si>
  <si>
    <t>영선담당</t>
    <phoneticPr fontId="4" type="noConversion"/>
  </si>
  <si>
    <t>근무일
(5일)</t>
    <phoneticPr fontId="4" type="noConversion"/>
  </si>
  <si>
    <t>야간</t>
    <phoneticPr fontId="31" type="noConversion"/>
  </si>
  <si>
    <t>(6hr*7일*1인)÷3교대</t>
    <phoneticPr fontId="4" type="noConversion"/>
  </si>
  <si>
    <t>주간-야간-휴무</t>
    <phoneticPr fontId="4" type="noConversion"/>
  </si>
  <si>
    <t>경비반장
경비원</t>
    <phoneticPr fontId="4" type="noConversion"/>
  </si>
  <si>
    <t>휴게시간 3hr</t>
    <phoneticPr fontId="4" type="noConversion"/>
  </si>
  <si>
    <t>(9hr*7일*1인)÷3교대</t>
    <phoneticPr fontId="4" type="noConversion"/>
  </si>
  <si>
    <t>3교대근무</t>
    <phoneticPr fontId="31" type="noConversion"/>
  </si>
  <si>
    <t>근무일
(5일)</t>
    <phoneticPr fontId="4" type="noConversion"/>
  </si>
  <si>
    <t>소계</t>
    <phoneticPr fontId="31" type="noConversion"/>
  </si>
  <si>
    <t>3교대근무</t>
    <phoneticPr fontId="4" type="noConversion"/>
  </si>
  <si>
    <t>주간-야간-휴무</t>
    <phoneticPr fontId="4" type="noConversion"/>
  </si>
  <si>
    <t>경비반장</t>
    <phoneticPr fontId="4" type="noConversion"/>
  </si>
  <si>
    <t>경비원</t>
    <phoneticPr fontId="4" type="noConversion"/>
  </si>
  <si>
    <t xml:space="preserve">          기타 정기적·일률적·고정적으로 지급되는 수당으로, 본 용역에서는 적용 제외하였음.</t>
    <phoneticPr fontId="4" type="noConversion"/>
  </si>
  <si>
    <t xml:space="preserve">     3. 통상임금(일) : 통상임금(hr) × 1일 평균근로시간</t>
    <phoneticPr fontId="4" type="noConversion"/>
  </si>
  <si>
    <t xml:space="preserve">       - 휴일근로(근로자의날) : 근로자의날제정에관한법률 기준</t>
    <phoneticPr fontId="4" type="noConversion"/>
  </si>
  <si>
    <t xml:space="preserve">      3. 연금액(연차 및 휴일근로수당) : 적용단가 × 수량 × 적용인원</t>
    <phoneticPr fontId="4" type="noConversion"/>
  </si>
  <si>
    <t xml:space="preserve">      4. 월금액(연차 및 휴일근로수당) : 연금액 ÷ 12개월</t>
    <phoneticPr fontId="4" type="noConversion"/>
  </si>
  <si>
    <t>시설부문</t>
    <phoneticPr fontId="4" type="noConversion"/>
  </si>
  <si>
    <t>미화부문</t>
    <phoneticPr fontId="4" type="noConversion"/>
  </si>
  <si>
    <t>경비부문</t>
    <phoneticPr fontId="4" type="noConversion"/>
  </si>
  <si>
    <t>07:30~16:30</t>
  </si>
  <si>
    <t>07:30~16:30</t>
    <phoneticPr fontId="4" type="noConversion"/>
  </si>
  <si>
    <t>07:00~19:00</t>
    <phoneticPr fontId="31" type="noConversion"/>
  </si>
  <si>
    <t>19:00~익일07:00</t>
    <phoneticPr fontId="31" type="noConversion"/>
  </si>
  <si>
    <r>
      <rPr>
        <sz val="11"/>
        <color theme="1"/>
        <rFont val="바탕체"/>
        <family val="1"/>
        <charset val="129"/>
      </rPr>
      <t>Ⅳ</t>
    </r>
    <r>
      <rPr>
        <sz val="11"/>
        <color theme="1"/>
        <rFont val="HY수평선B"/>
        <family val="1"/>
        <charset val="129"/>
      </rPr>
      <t>. 시설관리용역의 개요  --------------------------------</t>
    </r>
    <phoneticPr fontId="4" type="noConversion"/>
  </si>
  <si>
    <t>주5일 08:00~17:00</t>
    <phoneticPr fontId="4" type="noConversion"/>
  </si>
  <si>
    <t>주5일 07:30~16:30</t>
    <phoneticPr fontId="4" type="noConversion"/>
  </si>
  <si>
    <t>07:00~19:00. 19:00~익일07:00
주·야 24시간, 1인1조 3교대근무</t>
    <phoneticPr fontId="4" type="noConversion"/>
  </si>
  <si>
    <t>주5일 09:00~18:00</t>
    <phoneticPr fontId="4" type="noConversion"/>
  </si>
  <si>
    <t>주5일 08:00~17:00</t>
    <phoneticPr fontId="4" type="noConversion"/>
  </si>
  <si>
    <t>주5일 08:00~17:00</t>
    <phoneticPr fontId="4" type="noConversion"/>
  </si>
  <si>
    <t>08:00~17:00</t>
  </si>
  <si>
    <t>08:00~17:00</t>
    <phoneticPr fontId="4" type="noConversion"/>
  </si>
  <si>
    <t>[경비에 종사하는 인원은 과업지시서 및 근로기준법 제63조(적용의 제외) 제3호의 '감시(監視)또는 단속적(斷續的)으로 근로에 종사하는 자로서 사용자가 고용노동부장관의 승인을 받은 자'로 적용하여 산정하였다.]</t>
    <phoneticPr fontId="16" type="noConversion"/>
  </si>
  <si>
    <t xml:space="preserve">   이윤은 예정가격 작성기준 제28조(일반관리비등) 제2항에 의거 이윤율 10.0%를 초과할 수 없음과 한국은행의 운영계획에 의거 5%를 인건비, 경비, 일반관리비의 합계액에 승하여 계상하였다.</t>
    <phoneticPr fontId="16" type="noConversion"/>
  </si>
  <si>
    <t xml:space="preserve">   경비의 적용비목은 시설관리를 수행하는 과정에서 발생하는 용역업체의 항목에 대하여 지방자치단체 입찰 및 계약 집행기준에서 인정하는 비목중 보험 및 기타연기금을 적용하였다.</t>
    <phoneticPr fontId="16" type="noConversion"/>
  </si>
  <si>
    <t xml:space="preserve">       - 휴일근로(근로자의날) : 통상임금(시간급) × 150%</t>
    <phoneticPr fontId="4" type="noConversion"/>
  </si>
  <si>
    <t xml:space="preserve"> [감시적근로자 : 통상임금(시간급) × 100%]</t>
    <phoneticPr fontId="4" type="noConversion"/>
  </si>
  <si>
    <t>기본근로시간</t>
    <phoneticPr fontId="31" type="noConversion"/>
  </si>
  <si>
    <t>총근로시간</t>
    <phoneticPr fontId="31" type="noConversion"/>
  </si>
  <si>
    <t>주간</t>
    <phoneticPr fontId="4" type="noConversion"/>
  </si>
  <si>
    <t>총근로시간</t>
    <phoneticPr fontId="4" type="noConversion"/>
  </si>
  <si>
    <t>휴게시간 4hr
(야간근로시간2hr휴게)</t>
    <phoneticPr fontId="4" type="noConversion"/>
  </si>
  <si>
    <t>(8hr*7일*1인)÷3교대</t>
    <phoneticPr fontId="4" type="noConversion"/>
  </si>
  <si>
    <t xml:space="preserve">       - 야간근로 : [표 1-2] 직종별 인/주당 근로시간 산출표 참조</t>
    <phoneticPr fontId="4" type="noConversion"/>
  </si>
  <si>
    <t xml:space="preserve">          매월 지급되는 형태(일할계산 지급)이므로 통상임금에 포함하였음.</t>
    <phoneticPr fontId="4" type="noConversion"/>
  </si>
  <si>
    <t xml:space="preserve">         [시설부문 각 담당 : 8hr × 3(당일근로자 수) ÷ 4(전체근로자 수)]</t>
    <phoneticPr fontId="4" type="noConversion"/>
  </si>
  <si>
    <t xml:space="preserve">         [미화원 : 8hr × 3(당일근로자 수) ÷ 4(전체근로자 수)]</t>
    <phoneticPr fontId="4" type="noConversion"/>
  </si>
  <si>
    <t xml:space="preserve">         [경비반장 및 경비원 : {9hr(주간근로) + 8hr(야간근로)} ÷ 3(전체근로자 수)]</t>
    <phoneticPr fontId="4" type="noConversion"/>
  </si>
  <si>
    <t>비  목</t>
    <phoneticPr fontId="4" type="noConversion"/>
  </si>
  <si>
    <t xml:space="preserve">   인건비는 경기문화재단 과업지시서의 소요인원을 기준으로 적용하였으며, 노임단가는 지방자치단체 입찰 및 계약 집행기준 제2장 예정가격 작성요령 제5관 그 밖의 용역의 원가계산에 의거 2018년도 제조부문 노임단가를 기준으로 산정하였다. 상여금은 400% 내 차등지급, 제수당은 연차수당, 휴일근로수당 및 야간근로수당을 적용하였으며, 퇴직급여충당금은 관련법령에 의거 연 100%를 적용 산정하였다.</t>
    <phoneticPr fontId="16" type="noConversion"/>
  </si>
  <si>
    <t xml:space="preserve">   지방자치단체 입찰 및 계약 집행기준 제5관 그 밖의 용역의 원가계산 제1항에 나호에 상여금은 연 400%를 초과하여 계상할 수 없음과 경기문화재단 운영계획에 따라 연 400% 내 상여지급률을 차등 적용하였다.</t>
    <phoneticPr fontId="16" type="noConversion"/>
  </si>
  <si>
    <t>2017년</t>
    <phoneticPr fontId="4" type="noConversion"/>
  </si>
  <si>
    <t xml:space="preserve">         현실성을 감안하여 시설반장 및 기계·전기담당의 적용 노임은 전기분야를 기준으로 적용계상하였음.] </t>
    <phoneticPr fontId="4" type="noConversion"/>
  </si>
</sst>
</file>

<file path=xl/styles.xml><?xml version="1.0" encoding="utf-8"?>
<styleSheet xmlns="http://schemas.openxmlformats.org/spreadsheetml/2006/main">
  <numFmts count="9">
    <numFmt numFmtId="41" formatCode="_-* #,##0_-;\-* #,##0_-;_-* &quot;-&quot;_-;_-@_-"/>
    <numFmt numFmtId="176" formatCode="_ * #,##0_ ;_ * \-#,##0_ ;_ * &quot; &quot;_ ;_ @_ "/>
    <numFmt numFmtId="177" formatCode="_ * #,##0_ ;_ * \-#,##0_ ;_ * &quot;-&quot;_ ;_ @_ "/>
    <numFmt numFmtId="178" formatCode="0&quot;인&quot;"/>
    <numFmt numFmtId="179" formatCode="0&quot;일&quot;"/>
    <numFmt numFmtId="180" formatCode="mm&quot;월&quot;\ dd&quot;일&quot;"/>
    <numFmt numFmtId="181" formatCode="0&quot;hr/월&quot;"/>
    <numFmt numFmtId="182" formatCode="0.000%"/>
    <numFmt numFmtId="183" formatCode="0&quot;hr&quot;"/>
  </numFmts>
  <fonts count="42">
    <font>
      <sz val="11"/>
      <color theme="1"/>
      <name val="맑은 고딕"/>
      <family val="2"/>
      <scheme val="minor"/>
    </font>
    <font>
      <sz val="11"/>
      <color theme="1"/>
      <name val="맑은 고딕"/>
      <family val="2"/>
      <scheme val="minor"/>
    </font>
    <font>
      <sz val="11"/>
      <color theme="1"/>
      <name val="굴림"/>
      <family val="3"/>
      <charset val="129"/>
    </font>
    <font>
      <sz val="10"/>
      <color theme="1"/>
      <name val="굴림"/>
      <family val="3"/>
      <charset val="129"/>
    </font>
    <font>
      <sz val="8"/>
      <name val="맑은 고딕"/>
      <family val="3"/>
      <charset val="129"/>
      <scheme val="minor"/>
    </font>
    <font>
      <sz val="10"/>
      <name val="바탕체"/>
      <family val="1"/>
      <charset val="129"/>
    </font>
    <font>
      <sz val="11"/>
      <name val="굴림"/>
      <family val="3"/>
      <charset val="129"/>
    </font>
    <font>
      <sz val="8"/>
      <name val="바탕체"/>
      <family val="1"/>
      <charset val="129"/>
    </font>
    <font>
      <b/>
      <sz val="13"/>
      <color theme="1"/>
      <name val="굴림"/>
      <family val="3"/>
      <charset val="129"/>
    </font>
    <font>
      <b/>
      <sz val="24"/>
      <name val="HY수평선B"/>
      <family val="1"/>
      <charset val="129"/>
    </font>
    <font>
      <b/>
      <sz val="24"/>
      <name val="바탕체"/>
      <family val="1"/>
      <charset val="129"/>
    </font>
    <font>
      <b/>
      <sz val="11"/>
      <name val="굴림"/>
      <family val="3"/>
      <charset val="129"/>
    </font>
    <font>
      <b/>
      <sz val="11"/>
      <color theme="1"/>
      <name val="굴림"/>
      <family val="3"/>
      <charset val="129"/>
    </font>
    <font>
      <b/>
      <sz val="14"/>
      <name val="굴림"/>
      <family val="3"/>
      <charset val="129"/>
    </font>
    <font>
      <sz val="8"/>
      <name val="맑은 고딕"/>
      <family val="3"/>
      <charset val="129"/>
    </font>
    <font>
      <sz val="10"/>
      <name val="굴림"/>
      <family val="3"/>
      <charset val="129"/>
    </font>
    <font>
      <sz val="11"/>
      <name val="돋움"/>
      <family val="3"/>
      <charset val="129"/>
    </font>
    <font>
      <sz val="11"/>
      <name val="HY수평선B"/>
      <family val="1"/>
      <charset val="129"/>
    </font>
    <font>
      <sz val="12"/>
      <name val="HY수평선B"/>
      <family val="1"/>
      <charset val="129"/>
    </font>
    <font>
      <sz val="13"/>
      <name val="HY수평선B"/>
      <family val="1"/>
      <charset val="129"/>
    </font>
    <font>
      <sz val="10"/>
      <name val="HY수평선B"/>
      <family val="1"/>
      <charset val="129"/>
    </font>
    <font>
      <sz val="9"/>
      <color theme="1"/>
      <name val="굴림"/>
      <family val="3"/>
      <charset val="129"/>
    </font>
    <font>
      <b/>
      <sz val="9"/>
      <color theme="1"/>
      <name val="굴림"/>
      <family val="3"/>
      <charset val="129"/>
    </font>
    <font>
      <b/>
      <sz val="10"/>
      <name val="굴림"/>
      <family val="3"/>
      <charset val="129"/>
    </font>
    <font>
      <b/>
      <sz val="30"/>
      <name val="HY수평선B"/>
      <family val="1"/>
      <charset val="129"/>
    </font>
    <font>
      <b/>
      <sz val="30"/>
      <name val="바탕체"/>
      <family val="1"/>
      <charset val="129"/>
    </font>
    <font>
      <sz val="12"/>
      <name val="굴림"/>
      <family val="3"/>
      <charset val="129"/>
    </font>
    <font>
      <sz val="12"/>
      <name val="바탕체"/>
      <family val="1"/>
      <charset val="129"/>
    </font>
    <font>
      <sz val="10"/>
      <color rgb="FFFF0000"/>
      <name val="굴림"/>
      <family val="3"/>
      <charset val="129"/>
    </font>
    <font>
      <b/>
      <sz val="10"/>
      <color theme="1"/>
      <name val="굴림"/>
      <family val="3"/>
      <charset val="129"/>
    </font>
    <font>
      <sz val="10"/>
      <color theme="1"/>
      <name val="HY수평선B"/>
      <family val="1"/>
      <charset val="129"/>
    </font>
    <font>
      <sz val="8"/>
      <name val="돋움"/>
      <family val="3"/>
      <charset val="129"/>
    </font>
    <font>
      <b/>
      <sz val="9"/>
      <name val="굴림"/>
      <family val="3"/>
      <charset val="129"/>
    </font>
    <font>
      <sz val="9"/>
      <name val="굴림"/>
      <family val="3"/>
      <charset val="129"/>
    </font>
    <font>
      <b/>
      <sz val="8"/>
      <name val="굴림"/>
      <family val="3"/>
      <charset val="129"/>
    </font>
    <font>
      <sz val="8"/>
      <name val="굴림"/>
      <family val="3"/>
      <charset val="129"/>
    </font>
    <font>
      <sz val="8"/>
      <color theme="1"/>
      <name val="굴림"/>
      <family val="3"/>
      <charset val="129"/>
    </font>
    <font>
      <sz val="11"/>
      <color theme="1"/>
      <name val="HY수평선B"/>
      <family val="1"/>
      <charset val="129"/>
    </font>
    <font>
      <sz val="11"/>
      <color theme="1"/>
      <name val="바탕체"/>
      <family val="1"/>
      <charset val="129"/>
    </font>
    <font>
      <b/>
      <sz val="7"/>
      <name val="굴림"/>
      <family val="3"/>
      <charset val="129"/>
    </font>
    <font>
      <sz val="7"/>
      <color theme="1"/>
      <name val="굴림"/>
      <family val="3"/>
      <charset val="129"/>
    </font>
    <font>
      <sz val="7"/>
      <name val="굴림"/>
      <family val="3"/>
      <charset val="129"/>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style="double">
        <color auto="1"/>
      </bottom>
      <diagonal/>
    </border>
    <border>
      <left/>
      <right/>
      <top/>
      <bottom style="double">
        <color auto="1"/>
      </bottom>
      <diagonal/>
    </border>
    <border>
      <left style="thin">
        <color indexed="64"/>
      </left>
      <right style="thin">
        <color indexed="64"/>
      </right>
      <top style="thin">
        <color indexed="64"/>
      </top>
      <bottom style="double">
        <color auto="1"/>
      </bottom>
      <diagonal/>
    </border>
    <border>
      <left style="thin">
        <color indexed="64"/>
      </left>
      <right style="thin">
        <color indexed="64"/>
      </right>
      <top/>
      <bottom style="double">
        <color auto="1"/>
      </bottom>
      <diagonal/>
    </border>
    <border>
      <left/>
      <right style="thin">
        <color auto="1"/>
      </right>
      <top/>
      <bottom style="double">
        <color auto="1"/>
      </bottom>
      <diagonal/>
    </border>
  </borders>
  <cellStyleXfs count="9">
    <xf numFmtId="0" fontId="0" fillId="0" borderId="0"/>
    <xf numFmtId="41" fontId="1" fillId="0" borderId="0" applyFont="0" applyFill="0" applyBorder="0" applyAlignment="0" applyProtection="0">
      <alignment vertical="center"/>
    </xf>
    <xf numFmtId="0" fontId="5" fillId="0" borderId="0"/>
    <xf numFmtId="177" fontId="5" fillId="0" borderId="0" applyFont="0" applyFill="0" applyBorder="0" applyAlignment="0" applyProtection="0"/>
    <xf numFmtId="0" fontId="15" fillId="0" borderId="0"/>
    <xf numFmtId="0" fontId="5" fillId="0" borderId="0"/>
    <xf numFmtId="0" fontId="27" fillId="0" borderId="0"/>
    <xf numFmtId="9" fontId="1" fillId="0" borderId="0" applyFont="0" applyFill="0" applyBorder="0" applyAlignment="0" applyProtection="0">
      <alignment vertical="center"/>
    </xf>
    <xf numFmtId="0" fontId="16" fillId="0" borderId="0"/>
  </cellStyleXfs>
  <cellXfs count="267">
    <xf numFmtId="0" fontId="0" fillId="0" borderId="0" xfId="0"/>
    <xf numFmtId="0" fontId="2"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0" fontId="13" fillId="0" borderId="0" xfId="3" applyNumberFormat="1" applyFont="1" applyAlignment="1">
      <alignment horizontal="right" vertical="center"/>
    </xf>
    <xf numFmtId="0" fontId="13" fillId="0" borderId="0" xfId="3" applyNumberFormat="1" applyFont="1" applyAlignment="1">
      <alignment horizontal="distributed" vertical="center" indent="1"/>
    </xf>
    <xf numFmtId="0" fontId="13" fillId="0" borderId="0" xfId="3" applyNumberFormat="1" applyFont="1" applyAlignment="1">
      <alignment horizontal="distributed" vertical="center"/>
    </xf>
    <xf numFmtId="0" fontId="9" fillId="0" borderId="0" xfId="2" applyFont="1" applyFill="1" applyAlignment="1">
      <alignment vertical="center"/>
    </xf>
    <xf numFmtId="0" fontId="6" fillId="0" borderId="0" xfId="4" applyFont="1" applyFill="1" applyAlignment="1">
      <alignment vertical="center"/>
    </xf>
    <xf numFmtId="0" fontId="6" fillId="0" borderId="0" xfId="4" applyFont="1" applyFill="1" applyAlignment="1">
      <alignment vertical="distributed" wrapText="1"/>
    </xf>
    <xf numFmtId="0" fontId="6" fillId="0" borderId="0" xfId="0" applyFont="1" applyAlignment="1">
      <alignment vertical="center"/>
    </xf>
    <xf numFmtId="0" fontId="9" fillId="0" borderId="0" xfId="2" applyFont="1" applyFill="1" applyAlignment="1">
      <alignment horizontal="center" vertical="center"/>
    </xf>
    <xf numFmtId="0" fontId="18" fillId="0" borderId="0" xfId="4" applyFont="1" applyFill="1" applyAlignment="1">
      <alignment vertical="center"/>
    </xf>
    <xf numFmtId="0" fontId="19" fillId="0" borderId="0" xfId="4" applyFont="1" applyFill="1" applyAlignment="1">
      <alignment vertical="center"/>
    </xf>
    <xf numFmtId="0" fontId="6" fillId="0" borderId="0" xfId="4" applyFont="1" applyFill="1" applyAlignment="1">
      <alignment vertical="top" wrapText="1"/>
    </xf>
    <xf numFmtId="0" fontId="6" fillId="0" borderId="0" xfId="4" applyFont="1" applyFill="1" applyAlignment="1">
      <alignment vertical="top"/>
    </xf>
    <xf numFmtId="0" fontId="20" fillId="0" borderId="0" xfId="4" applyFont="1" applyFill="1" applyAlignment="1">
      <alignment vertical="center"/>
    </xf>
    <xf numFmtId="0" fontId="15" fillId="0" borderId="0" xfId="4" applyFont="1" applyFill="1" applyAlignment="1">
      <alignment vertical="center"/>
    </xf>
    <xf numFmtId="0" fontId="15" fillId="0" borderId="0" xfId="0" applyFont="1" applyAlignment="1">
      <alignment vertical="center"/>
    </xf>
    <xf numFmtId="0" fontId="21" fillId="0" borderId="0" xfId="0" applyFont="1" applyAlignment="1">
      <alignment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24" fillId="0" borderId="0" xfId="2" applyFont="1" applyFill="1" applyAlignment="1">
      <alignment horizontal="center" vertical="center"/>
    </xf>
    <xf numFmtId="0" fontId="17" fillId="0" borderId="0" xfId="5" applyFont="1" applyFill="1" applyAlignment="1">
      <alignment horizontal="left" vertical="center"/>
    </xf>
    <xf numFmtId="0" fontId="15" fillId="0" borderId="3" xfId="5" quotePrefix="1" applyFont="1" applyFill="1" applyBorder="1" applyAlignment="1">
      <alignment horizontal="center" vertical="center"/>
    </xf>
    <xf numFmtId="0" fontId="15" fillId="0" borderId="3" xfId="5" applyFont="1" applyFill="1" applyBorder="1" applyAlignment="1">
      <alignment horizontal="center" vertical="center"/>
    </xf>
    <xf numFmtId="0" fontId="15" fillId="0" borderId="4" xfId="5" applyFont="1" applyFill="1" applyBorder="1" applyAlignment="1">
      <alignment horizontal="center" vertical="center"/>
    </xf>
    <xf numFmtId="0" fontId="28" fillId="0" borderId="1" xfId="1" applyNumberFormat="1" applyFont="1" applyFill="1" applyBorder="1" applyAlignment="1">
      <alignment horizontal="center" vertical="center"/>
    </xf>
    <xf numFmtId="0" fontId="28" fillId="0" borderId="1" xfId="5" applyFont="1" applyFill="1" applyBorder="1" applyAlignment="1">
      <alignment horizontal="center" vertical="center"/>
    </xf>
    <xf numFmtId="0" fontId="3" fillId="0" borderId="0" xfId="0" applyFont="1" applyBorder="1" applyAlignment="1">
      <alignment vertical="center"/>
    </xf>
    <xf numFmtId="0" fontId="15" fillId="0" borderId="1" xfId="5" quotePrefix="1" applyFont="1" applyFill="1" applyBorder="1" applyAlignment="1">
      <alignment horizontal="center" vertical="center"/>
    </xf>
    <xf numFmtId="0" fontId="29" fillId="2" borderId="8" xfId="0" applyFont="1" applyFill="1" applyBorder="1" applyAlignment="1">
      <alignment horizontal="right" vertical="center" indent="1"/>
    </xf>
    <xf numFmtId="0" fontId="29" fillId="2" borderId="13" xfId="0" applyFont="1" applyFill="1" applyBorder="1" applyAlignment="1">
      <alignment vertical="center"/>
    </xf>
    <xf numFmtId="0" fontId="15" fillId="0" borderId="2" xfId="5" quotePrefix="1" applyFont="1" applyFill="1" applyBorder="1" applyAlignment="1">
      <alignment horizontal="center" vertical="center"/>
    </xf>
    <xf numFmtId="176" fontId="3" fillId="0" borderId="14" xfId="0" applyNumberFormat="1" applyFont="1" applyBorder="1" applyAlignment="1">
      <alignment vertical="center"/>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 xfId="0" applyNumberFormat="1" applyFont="1" applyBorder="1" applyAlignment="1">
      <alignment vertical="center"/>
    </xf>
    <xf numFmtId="10" fontId="3" fillId="0" borderId="14" xfId="0" applyNumberFormat="1" applyFont="1" applyBorder="1" applyAlignment="1">
      <alignment vertical="center"/>
    </xf>
    <xf numFmtId="10" fontId="3" fillId="0" borderId="15" xfId="0" applyNumberFormat="1" applyFont="1" applyBorder="1" applyAlignment="1">
      <alignment vertical="center"/>
    </xf>
    <xf numFmtId="10" fontId="3" fillId="0" borderId="16" xfId="0" applyNumberFormat="1" applyFont="1" applyBorder="1" applyAlignment="1">
      <alignment vertical="center"/>
    </xf>
    <xf numFmtId="10" fontId="3" fillId="0" borderId="1" xfId="0" applyNumberFormat="1" applyFont="1" applyBorder="1" applyAlignment="1">
      <alignment vertical="center"/>
    </xf>
    <xf numFmtId="0" fontId="30" fillId="0" borderId="0" xfId="0" applyFont="1" applyAlignment="1">
      <alignment horizontal="right" vertical="center"/>
    </xf>
    <xf numFmtId="0" fontId="29" fillId="2" borderId="1" xfId="0" applyFont="1" applyFill="1" applyBorder="1" applyAlignment="1">
      <alignment horizontal="center" vertical="center"/>
    </xf>
    <xf numFmtId="0" fontId="29" fillId="2" borderId="0" xfId="0" applyFont="1" applyFill="1" applyBorder="1" applyAlignment="1">
      <alignment horizontal="center" vertical="center"/>
    </xf>
    <xf numFmtId="0" fontId="3" fillId="0" borderId="0" xfId="0" applyNumberFormat="1" applyFont="1" applyAlignment="1">
      <alignment vertical="center"/>
    </xf>
    <xf numFmtId="0" fontId="21" fillId="0" borderId="1" xfId="0" applyFont="1" applyBorder="1" applyAlignment="1">
      <alignment horizontal="center" vertical="center"/>
    </xf>
    <xf numFmtId="0" fontId="29" fillId="2" borderId="1" xfId="0" applyFont="1" applyFill="1" applyBorder="1" applyAlignment="1">
      <alignment horizontal="center" vertical="center"/>
    </xf>
    <xf numFmtId="0" fontId="33" fillId="0" borderId="1" xfId="0" applyNumberFormat="1" applyFont="1" applyBorder="1" applyAlignment="1">
      <alignment horizontal="distributed" vertical="center"/>
    </xf>
    <xf numFmtId="0" fontId="33" fillId="0" borderId="1" xfId="0" applyNumberFormat="1" applyFont="1" applyBorder="1" applyAlignment="1">
      <alignment horizontal="center" vertical="center"/>
    </xf>
    <xf numFmtId="0" fontId="33" fillId="0" borderId="1" xfId="0" applyNumberFormat="1" applyFont="1" applyFill="1" applyBorder="1" applyAlignment="1">
      <alignment horizontal="center" vertical="center" wrapText="1"/>
    </xf>
    <xf numFmtId="178" fontId="33" fillId="0" borderId="17" xfId="0" applyNumberFormat="1" applyFont="1" applyBorder="1" applyAlignment="1">
      <alignment horizontal="center" vertical="center"/>
    </xf>
    <xf numFmtId="0" fontId="33" fillId="0" borderId="17" xfId="0" applyFont="1" applyBorder="1" applyAlignment="1">
      <alignment vertical="center"/>
    </xf>
    <xf numFmtId="0" fontId="33" fillId="0" borderId="14" xfId="0" applyFont="1" applyBorder="1" applyAlignment="1">
      <alignment horizontal="center" vertical="center"/>
    </xf>
    <xf numFmtId="0" fontId="33" fillId="0" borderId="14" xfId="0" applyFont="1" applyFill="1" applyBorder="1" applyAlignment="1">
      <alignment horizontal="center" vertical="center"/>
    </xf>
    <xf numFmtId="0" fontId="33" fillId="0" borderId="15" xfId="0" applyFont="1" applyBorder="1" applyAlignment="1">
      <alignment horizontal="center" vertical="center"/>
    </xf>
    <xf numFmtId="0" fontId="33" fillId="0" borderId="15" xfId="0" applyFont="1" applyFill="1" applyBorder="1" applyAlignment="1">
      <alignment horizontal="center" vertical="center"/>
    </xf>
    <xf numFmtId="0" fontId="33" fillId="0" borderId="16" xfId="0" applyFont="1" applyBorder="1" applyAlignment="1">
      <alignment horizontal="center" vertical="center"/>
    </xf>
    <xf numFmtId="0" fontId="33" fillId="0" borderId="16" xfId="0" applyFont="1" applyFill="1" applyBorder="1" applyAlignment="1">
      <alignment horizontal="center" vertical="center"/>
    </xf>
    <xf numFmtId="0" fontId="33" fillId="0" borderId="15" xfId="0" applyFont="1" applyBorder="1" applyAlignment="1">
      <alignment horizontal="center" vertical="center" wrapText="1"/>
    </xf>
    <xf numFmtId="0" fontId="34" fillId="3" borderId="1" xfId="0" applyFont="1" applyFill="1" applyBorder="1" applyAlignment="1">
      <alignment horizontal="center" vertical="center" wrapText="1"/>
    </xf>
    <xf numFmtId="0" fontId="34" fillId="3" borderId="1" xfId="0" applyFont="1" applyFill="1" applyBorder="1" applyAlignment="1">
      <alignment horizontal="center" vertical="center"/>
    </xf>
    <xf numFmtId="0" fontId="3" fillId="0" borderId="0" xfId="0" applyFont="1" applyAlignment="1">
      <alignment horizontal="center" vertical="center"/>
    </xf>
    <xf numFmtId="0" fontId="36" fillId="0" borderId="0" xfId="0" applyFont="1" applyAlignment="1">
      <alignment vertical="center"/>
    </xf>
    <xf numFmtId="176" fontId="3" fillId="0" borderId="0" xfId="0" applyNumberFormat="1" applyFont="1" applyAlignment="1">
      <alignment vertical="center"/>
    </xf>
    <xf numFmtId="0" fontId="23" fillId="3" borderId="1" xfId="8" applyNumberFormat="1" applyFont="1" applyFill="1" applyBorder="1" applyAlignment="1">
      <alignment horizontal="center" vertical="center"/>
    </xf>
    <xf numFmtId="0" fontId="20" fillId="0" borderId="0" xfId="5" applyFont="1" applyFill="1" applyAlignment="1">
      <alignment horizontal="left" vertical="center"/>
    </xf>
    <xf numFmtId="0" fontId="3" fillId="0" borderId="1" xfId="0" applyFont="1" applyBorder="1" applyAlignment="1">
      <alignment horizontal="distributed" vertical="center"/>
    </xf>
    <xf numFmtId="178" fontId="3" fillId="0" borderId="1" xfId="0" applyNumberFormat="1" applyFont="1" applyBorder="1" applyAlignment="1">
      <alignment horizontal="center" vertical="center"/>
    </xf>
    <xf numFmtId="0" fontId="3" fillId="0" borderId="2" xfId="0" applyFont="1" applyBorder="1" applyAlignment="1">
      <alignment horizontal="distributed" vertical="center"/>
    </xf>
    <xf numFmtId="176" fontId="3" fillId="0" borderId="2" xfId="0" applyNumberFormat="1" applyFont="1" applyBorder="1" applyAlignment="1">
      <alignment vertical="center"/>
    </xf>
    <xf numFmtId="178" fontId="3" fillId="0" borderId="2" xfId="0" applyNumberFormat="1" applyFont="1" applyBorder="1" applyAlignment="1">
      <alignment horizontal="center" vertical="center"/>
    </xf>
    <xf numFmtId="0" fontId="3" fillId="0" borderId="17" xfId="0" applyFont="1" applyBorder="1" applyAlignment="1">
      <alignment horizontal="center" vertical="center"/>
    </xf>
    <xf numFmtId="176" fontId="3" fillId="0" borderId="17" xfId="0" applyNumberFormat="1" applyFont="1" applyBorder="1" applyAlignment="1">
      <alignment vertical="center"/>
    </xf>
    <xf numFmtId="178" fontId="3" fillId="0" borderId="17" xfId="0" applyNumberFormat="1" applyFont="1" applyBorder="1" applyAlignment="1">
      <alignment horizontal="center" vertical="center"/>
    </xf>
    <xf numFmtId="179" fontId="3" fillId="0" borderId="1" xfId="0" applyNumberFormat="1" applyFont="1" applyBorder="1" applyAlignment="1">
      <alignment horizontal="center" vertical="center"/>
    </xf>
    <xf numFmtId="179" fontId="3" fillId="0" borderId="2" xfId="0" applyNumberFormat="1" applyFont="1" applyBorder="1" applyAlignment="1">
      <alignment horizontal="center" vertical="center"/>
    </xf>
    <xf numFmtId="179" fontId="3" fillId="0" borderId="17" xfId="0" applyNumberFormat="1" applyFont="1" applyBorder="1" applyAlignment="1">
      <alignment horizontal="center" vertical="center"/>
    </xf>
    <xf numFmtId="176" fontId="3" fillId="0" borderId="1" xfId="0" applyNumberFormat="1" applyFont="1" applyBorder="1" applyAlignment="1">
      <alignment vertical="center" shrinkToFit="1"/>
    </xf>
    <xf numFmtId="0" fontId="3" fillId="0" borderId="1" xfId="0" applyNumberFormat="1" applyFont="1" applyBorder="1" applyAlignment="1">
      <alignment horizontal="center" vertical="center" shrinkToFit="1"/>
    </xf>
    <xf numFmtId="178" fontId="3" fillId="0" borderId="1" xfId="0" applyNumberFormat="1" applyFont="1" applyBorder="1" applyAlignment="1">
      <alignment horizontal="center" vertical="center" shrinkToFit="1"/>
    </xf>
    <xf numFmtId="9" fontId="3" fillId="0" borderId="1" xfId="0" applyNumberFormat="1" applyFont="1" applyBorder="1" applyAlignment="1">
      <alignment horizontal="center" vertical="center" shrinkToFit="1"/>
    </xf>
    <xf numFmtId="176" fontId="3" fillId="0" borderId="2" xfId="0" applyNumberFormat="1" applyFont="1" applyBorder="1" applyAlignment="1">
      <alignment vertical="center" shrinkToFit="1"/>
    </xf>
    <xf numFmtId="0" fontId="3" fillId="0" borderId="2" xfId="0" applyNumberFormat="1" applyFont="1" applyBorder="1" applyAlignment="1">
      <alignment horizontal="center" vertical="center" shrinkToFit="1"/>
    </xf>
    <xf numFmtId="178" fontId="3" fillId="0" borderId="2" xfId="0" applyNumberFormat="1" applyFont="1" applyBorder="1" applyAlignment="1">
      <alignment horizontal="center" vertical="center" shrinkToFit="1"/>
    </xf>
    <xf numFmtId="176" fontId="3" fillId="0" borderId="17" xfId="0" applyNumberFormat="1" applyFont="1" applyBorder="1" applyAlignment="1">
      <alignment vertical="center" shrinkToFit="1"/>
    </xf>
    <xf numFmtId="0" fontId="3" fillId="0" borderId="17" xfId="0" applyNumberFormat="1" applyFont="1" applyBorder="1" applyAlignment="1">
      <alignment horizontal="center" vertical="center" shrinkToFit="1"/>
    </xf>
    <xf numFmtId="178" fontId="3" fillId="0" borderId="17" xfId="0" applyNumberFormat="1" applyFont="1" applyBorder="1" applyAlignment="1">
      <alignment horizontal="center" vertical="center" shrinkToFit="1"/>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17" xfId="0" applyFont="1" applyBorder="1" applyAlignment="1">
      <alignment vertical="center" shrinkToFit="1"/>
    </xf>
    <xf numFmtId="180" fontId="3" fillId="0" borderId="1" xfId="0" applyNumberFormat="1" applyFont="1" applyBorder="1" applyAlignment="1">
      <alignment horizontal="center" vertical="center" shrinkToFit="1"/>
    </xf>
    <xf numFmtId="179" fontId="3" fillId="0" borderId="1" xfId="0" applyNumberFormat="1" applyFont="1" applyBorder="1" applyAlignment="1">
      <alignment horizontal="center" vertical="center" shrinkToFit="1"/>
    </xf>
    <xf numFmtId="181" fontId="3" fillId="0" borderId="1" xfId="0" applyNumberFormat="1" applyFont="1" applyBorder="1" applyAlignment="1">
      <alignment horizontal="center" vertical="center" shrinkToFit="1"/>
    </xf>
    <xf numFmtId="176" fontId="36" fillId="0" borderId="1" xfId="0" applyNumberFormat="1" applyFont="1" applyBorder="1" applyAlignment="1">
      <alignment vertical="center" shrinkToFit="1"/>
    </xf>
    <xf numFmtId="0" fontId="36" fillId="0" borderId="1" xfId="0" applyFont="1" applyBorder="1" applyAlignment="1">
      <alignment horizontal="center" vertical="center" shrinkToFit="1"/>
    </xf>
    <xf numFmtId="0" fontId="35" fillId="0" borderId="2" xfId="0" applyNumberFormat="1" applyFont="1" applyBorder="1" applyAlignment="1">
      <alignment horizontal="center" vertical="center" shrinkToFit="1"/>
    </xf>
    <xf numFmtId="176" fontId="36" fillId="0" borderId="2" xfId="0" applyNumberFormat="1" applyFont="1" applyBorder="1" applyAlignment="1">
      <alignment vertical="center" shrinkToFit="1"/>
    </xf>
    <xf numFmtId="0" fontId="36" fillId="0" borderId="2" xfId="0" applyFont="1" applyBorder="1" applyAlignment="1">
      <alignment horizontal="center" vertical="center" shrinkToFit="1"/>
    </xf>
    <xf numFmtId="176" fontId="36" fillId="0" borderId="17" xfId="0" applyNumberFormat="1" applyFont="1" applyBorder="1" applyAlignment="1">
      <alignment vertical="center" shrinkToFit="1"/>
    </xf>
    <xf numFmtId="0" fontId="36" fillId="0" borderId="17" xfId="0" applyFont="1" applyBorder="1" applyAlignment="1">
      <alignment horizontal="center" vertical="center" shrinkToFit="1"/>
    </xf>
    <xf numFmtId="0" fontId="23" fillId="3" borderId="1" xfId="1" applyNumberFormat="1" applyFont="1" applyFill="1" applyBorder="1" applyAlignment="1">
      <alignment horizontal="center" vertical="center"/>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0" fontId="33" fillId="0" borderId="1" xfId="0" applyNumberFormat="1" applyFont="1" applyBorder="1" applyAlignment="1">
      <alignment horizontal="center" vertical="center"/>
    </xf>
    <xf numFmtId="0" fontId="33" fillId="0" borderId="1" xfId="0" applyNumberFormat="1" applyFont="1" applyBorder="1" applyAlignment="1">
      <alignment horizontal="distributed" vertical="center"/>
    </xf>
    <xf numFmtId="0" fontId="33" fillId="0" borderId="1" xfId="0" applyNumberFormat="1" applyFont="1" applyFill="1" applyBorder="1" applyAlignment="1">
      <alignment horizontal="center" vertical="center" wrapText="1"/>
    </xf>
    <xf numFmtId="176" fontId="21" fillId="0" borderId="1" xfId="0" applyNumberFormat="1" applyFont="1" applyBorder="1" applyAlignment="1">
      <alignment vertical="center" shrinkToFit="1"/>
    </xf>
    <xf numFmtId="176" fontId="21" fillId="0" borderId="2" xfId="0" applyNumberFormat="1" applyFont="1" applyBorder="1" applyAlignment="1">
      <alignment vertical="center" shrinkToFit="1"/>
    </xf>
    <xf numFmtId="176" fontId="21" fillId="0" borderId="17" xfId="0" applyNumberFormat="1" applyFont="1" applyBorder="1" applyAlignment="1">
      <alignment vertical="center" shrinkToFit="1"/>
    </xf>
    <xf numFmtId="0" fontId="15" fillId="0" borderId="1" xfId="0" applyFont="1" applyBorder="1" applyAlignment="1">
      <alignment horizontal="distributed" vertical="center"/>
    </xf>
    <xf numFmtId="178" fontId="32" fillId="3" borderId="1" xfId="0" applyNumberFormat="1" applyFont="1" applyFill="1" applyBorder="1" applyAlignment="1">
      <alignment horizontal="center" vertical="center"/>
    </xf>
    <xf numFmtId="0" fontId="21" fillId="0" borderId="1" xfId="0" applyNumberFormat="1" applyFont="1" applyBorder="1" applyAlignment="1">
      <alignment vertical="center" shrinkToFit="1"/>
    </xf>
    <xf numFmtId="0" fontId="21" fillId="0" borderId="2" xfId="0" applyNumberFormat="1" applyFont="1" applyBorder="1" applyAlignment="1">
      <alignment vertical="center" shrinkToFit="1"/>
    </xf>
    <xf numFmtId="0" fontId="21" fillId="0" borderId="17" xfId="0" applyNumberFormat="1" applyFont="1" applyBorder="1" applyAlignment="1">
      <alignment vertical="center" shrinkToFit="1"/>
    </xf>
    <xf numFmtId="0" fontId="32" fillId="3" borderId="1" xfId="8" applyNumberFormat="1" applyFont="1" applyFill="1" applyBorder="1" applyAlignment="1">
      <alignment horizontal="center" vertical="center"/>
    </xf>
    <xf numFmtId="0" fontId="32" fillId="3" borderId="1" xfId="8" applyNumberFormat="1" applyFont="1" applyFill="1" applyBorder="1" applyAlignment="1">
      <alignment horizontal="center" vertical="center" wrapText="1"/>
    </xf>
    <xf numFmtId="0" fontId="32" fillId="3" borderId="1" xfId="1" applyNumberFormat="1" applyFont="1" applyFill="1" applyBorder="1" applyAlignment="1">
      <alignment horizontal="center" vertical="center" wrapText="1"/>
    </xf>
    <xf numFmtId="0" fontId="21" fillId="0" borderId="1" xfId="0" applyNumberFormat="1" applyFont="1" applyBorder="1" applyAlignment="1">
      <alignment horizontal="center" vertical="center" shrinkToFit="1"/>
    </xf>
    <xf numFmtId="183" fontId="3" fillId="0" borderId="1" xfId="0" applyNumberFormat="1" applyFont="1" applyBorder="1" applyAlignment="1">
      <alignment horizontal="center" vertical="center" shrinkToFit="1"/>
    </xf>
    <xf numFmtId="0" fontId="30" fillId="0" borderId="0" xfId="0" applyFont="1" applyAlignment="1">
      <alignment vertical="center"/>
    </xf>
    <xf numFmtId="0" fontId="37" fillId="0" borderId="0" xfId="0" applyFont="1" applyAlignment="1">
      <alignment vertical="center"/>
    </xf>
    <xf numFmtId="0" fontId="32" fillId="3" borderId="1" xfId="0" applyFont="1" applyFill="1" applyBorder="1" applyAlignment="1">
      <alignment horizontal="center" vertical="center"/>
    </xf>
    <xf numFmtId="0" fontId="33" fillId="0" borderId="1" xfId="0" applyNumberFormat="1" applyFont="1" applyBorder="1" applyAlignment="1">
      <alignment horizontal="distributed" vertical="center"/>
    </xf>
    <xf numFmtId="0" fontId="33" fillId="0" borderId="1" xfId="0" applyNumberFormat="1" applyFont="1" applyBorder="1" applyAlignment="1">
      <alignment horizontal="center" vertical="center"/>
    </xf>
    <xf numFmtId="0" fontId="33" fillId="0" borderId="1" xfId="0" applyNumberFormat="1" applyFont="1" applyBorder="1" applyAlignment="1">
      <alignment horizontal="distributed" vertical="center" inden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21" fillId="0" borderId="1" xfId="0" applyFont="1" applyBorder="1" applyAlignment="1">
      <alignment horizontal="distributed" vertical="center" indent="1"/>
    </xf>
    <xf numFmtId="0" fontId="35" fillId="0" borderId="1" xfId="0" applyNumberFormat="1" applyFont="1" applyBorder="1" applyAlignment="1">
      <alignment horizontal="distributed" vertical="center"/>
    </xf>
    <xf numFmtId="0" fontId="35" fillId="0" borderId="2" xfId="0" applyNumberFormat="1" applyFont="1" applyBorder="1" applyAlignment="1">
      <alignment horizontal="distributed" vertical="center"/>
    </xf>
    <xf numFmtId="0" fontId="39" fillId="3" borderId="1" xfId="0" applyFont="1" applyFill="1" applyBorder="1" applyAlignment="1">
      <alignment horizontal="center" vertical="center" wrapText="1"/>
    </xf>
    <xf numFmtId="0" fontId="39" fillId="3" borderId="1" xfId="0" applyFont="1" applyFill="1" applyBorder="1" applyAlignment="1">
      <alignment horizontal="center" vertical="center"/>
    </xf>
    <xf numFmtId="0" fontId="40" fillId="0" borderId="1" xfId="0" applyFont="1" applyBorder="1" applyAlignment="1">
      <alignment horizontal="distributed" vertical="center"/>
    </xf>
    <xf numFmtId="176" fontId="40" fillId="0" borderId="1" xfId="0" applyNumberFormat="1" applyFont="1" applyBorder="1" applyAlignment="1">
      <alignment vertical="center" shrinkToFit="1"/>
    </xf>
    <xf numFmtId="0" fontId="40" fillId="0" borderId="1" xfId="0" applyFont="1" applyBorder="1" applyAlignment="1">
      <alignment horizontal="center" vertical="center" shrinkToFit="1"/>
    </xf>
    <xf numFmtId="0" fontId="41" fillId="0" borderId="2" xfId="0" applyNumberFormat="1" applyFont="1" applyBorder="1" applyAlignment="1">
      <alignment horizontal="center" vertical="center" shrinkToFit="1"/>
    </xf>
    <xf numFmtId="176" fontId="40" fillId="0" borderId="2" xfId="0" applyNumberFormat="1" applyFont="1" applyBorder="1" applyAlignment="1">
      <alignment vertical="center" shrinkToFit="1"/>
    </xf>
    <xf numFmtId="0" fontId="40" fillId="0" borderId="2" xfId="0" applyFont="1" applyBorder="1" applyAlignment="1">
      <alignment horizontal="center" vertical="center" shrinkToFit="1"/>
    </xf>
    <xf numFmtId="0" fontId="40" fillId="0" borderId="17" xfId="0" applyFont="1" applyBorder="1" applyAlignment="1">
      <alignment horizontal="center" vertical="center"/>
    </xf>
    <xf numFmtId="176" fontId="40" fillId="0" borderId="17" xfId="0" applyNumberFormat="1" applyFont="1" applyBorder="1" applyAlignment="1">
      <alignment vertical="center" shrinkToFit="1"/>
    </xf>
    <xf numFmtId="0" fontId="40" fillId="0" borderId="17" xfId="0" applyFont="1" applyBorder="1" applyAlignment="1">
      <alignment horizontal="center" vertical="center" shrinkToFit="1"/>
    </xf>
    <xf numFmtId="0" fontId="21" fillId="0" borderId="1" xfId="0" applyFont="1" applyBorder="1" applyAlignment="1">
      <alignment horizontal="center" vertical="center"/>
    </xf>
    <xf numFmtId="0" fontId="32" fillId="3" borderId="1" xfId="0" applyFont="1" applyFill="1" applyBorder="1" applyAlignment="1">
      <alignment horizontal="center" vertical="center"/>
    </xf>
    <xf numFmtId="0" fontId="33" fillId="0" borderId="1" xfId="0" applyNumberFormat="1" applyFont="1" applyBorder="1" applyAlignment="1">
      <alignment horizontal="distributed" vertical="center" indent="1"/>
    </xf>
    <xf numFmtId="0" fontId="33" fillId="0" borderId="1" xfId="0" applyNumberFormat="1" applyFont="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NumberFormat="1" applyFont="1" applyBorder="1" applyAlignment="1">
      <alignment horizontal="center" vertical="center"/>
    </xf>
    <xf numFmtId="178" fontId="33" fillId="0" borderId="14" xfId="0" applyNumberFormat="1" applyFont="1" applyBorder="1" applyAlignment="1">
      <alignment horizontal="center" vertical="center"/>
    </xf>
    <xf numFmtId="178" fontId="33" fillId="0" borderId="15" xfId="0" applyNumberFormat="1" applyFont="1" applyBorder="1" applyAlignment="1">
      <alignment horizontal="center" vertical="center"/>
    </xf>
    <xf numFmtId="178" fontId="33" fillId="0" borderId="16" xfId="0" applyNumberFormat="1" applyFont="1" applyBorder="1" applyAlignment="1">
      <alignment horizontal="center" vertical="center"/>
    </xf>
    <xf numFmtId="0" fontId="3" fillId="4" borderId="1" xfId="0" applyFont="1" applyFill="1" applyBorder="1" applyAlignment="1">
      <alignment horizontal="distributed" vertical="center"/>
    </xf>
    <xf numFmtId="176" fontId="3" fillId="4" borderId="1" xfId="0" applyNumberFormat="1" applyFont="1" applyFill="1" applyBorder="1" applyAlignment="1">
      <alignment vertical="center" shrinkToFit="1"/>
    </xf>
    <xf numFmtId="0" fontId="3" fillId="4" borderId="1" xfId="0" applyNumberFormat="1" applyFont="1" applyFill="1" applyBorder="1" applyAlignment="1">
      <alignment horizontal="center" vertical="center" shrinkToFit="1"/>
    </xf>
    <xf numFmtId="178" fontId="3" fillId="4" borderId="1" xfId="0" applyNumberFormat="1" applyFont="1" applyFill="1" applyBorder="1" applyAlignment="1">
      <alignment horizontal="center" vertical="center" shrinkToFit="1"/>
    </xf>
    <xf numFmtId="0" fontId="29" fillId="2" borderId="1" xfId="0" applyFont="1" applyFill="1" applyBorder="1" applyAlignment="1">
      <alignment horizontal="center" vertical="center"/>
    </xf>
    <xf numFmtId="0" fontId="33" fillId="0" borderId="6" xfId="0" applyNumberFormat="1" applyFont="1" applyBorder="1" applyAlignment="1">
      <alignment vertical="center"/>
    </xf>
    <xf numFmtId="0" fontId="33" fillId="0" borderId="1" xfId="0" applyNumberFormat="1" applyFont="1" applyBorder="1" applyAlignment="1">
      <alignment vertical="center"/>
    </xf>
    <xf numFmtId="0" fontId="24" fillId="0" borderId="0" xfId="2" applyFont="1" applyFill="1" applyAlignment="1">
      <alignment horizontal="center" vertical="center"/>
    </xf>
    <xf numFmtId="0" fontId="13" fillId="0" borderId="0" xfId="3" applyNumberFormat="1" applyFont="1" applyAlignment="1">
      <alignment horizontal="distributed" vertical="center" indent="1"/>
    </xf>
    <xf numFmtId="0" fontId="13" fillId="0" borderId="0" xfId="3" applyNumberFormat="1" applyFont="1" applyAlignment="1">
      <alignment horizontal="distributed"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0" xfId="2" applyFont="1" applyFill="1" applyAlignment="1">
      <alignment vertical="distributed" wrapText="1"/>
    </xf>
    <xf numFmtId="0" fontId="9" fillId="0" borderId="0" xfId="2" applyFont="1" applyFill="1" applyAlignment="1">
      <alignment horizontal="center" vertical="center"/>
    </xf>
    <xf numFmtId="0" fontId="11" fillId="0" borderId="0" xfId="2" quotePrefix="1" applyFont="1" applyFill="1" applyBorder="1" applyAlignment="1">
      <alignment horizontal="center" vertical="center"/>
    </xf>
    <xf numFmtId="0" fontId="12" fillId="2" borderId="1" xfId="0" applyFont="1" applyFill="1" applyBorder="1" applyAlignment="1">
      <alignment horizontal="center" vertical="center"/>
    </xf>
    <xf numFmtId="176" fontId="2" fillId="0" borderId="1" xfId="0" applyNumberFormat="1" applyFont="1" applyBorder="1" applyAlignment="1">
      <alignment horizontal="center" vertical="center"/>
    </xf>
    <xf numFmtId="0" fontId="15" fillId="0" borderId="0" xfId="4" applyFont="1" applyFill="1" applyAlignment="1">
      <alignment vertical="distributed" wrapText="1"/>
    </xf>
    <xf numFmtId="0" fontId="22" fillId="2" borderId="1" xfId="0" applyFont="1" applyFill="1" applyBorder="1" applyAlignment="1">
      <alignment horizontal="center" vertical="center"/>
    </xf>
    <xf numFmtId="0" fontId="21" fillId="0" borderId="3" xfId="0" applyFont="1" applyBorder="1" applyAlignment="1">
      <alignment horizontal="center" vertical="center"/>
    </xf>
    <xf numFmtId="0" fontId="21" fillId="0" borderId="3" xfId="0" applyFont="1" applyBorder="1" applyAlignment="1">
      <alignment vertical="center"/>
    </xf>
    <xf numFmtId="0" fontId="21" fillId="0" borderId="2" xfId="0" applyFont="1" applyBorder="1" applyAlignment="1">
      <alignment horizontal="center" vertical="center"/>
    </xf>
    <xf numFmtId="0" fontId="21" fillId="0" borderId="2" xfId="0" applyFont="1" applyBorder="1" applyAlignment="1">
      <alignment vertical="center"/>
    </xf>
    <xf numFmtId="0" fontId="21" fillId="0" borderId="1" xfId="0" applyFont="1" applyBorder="1" applyAlignment="1">
      <alignment horizontal="center" vertical="center"/>
    </xf>
    <xf numFmtId="0" fontId="21" fillId="0" borderId="4" xfId="0" applyFont="1" applyBorder="1" applyAlignment="1">
      <alignment horizontal="center" vertical="center"/>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6" xfId="0" applyFont="1" applyFill="1" applyBorder="1" applyAlignment="1">
      <alignment horizontal="center" vertical="center"/>
    </xf>
    <xf numFmtId="0" fontId="21" fillId="0" borderId="4" xfId="0" applyFont="1" applyBorder="1" applyAlignment="1">
      <alignment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17" xfId="0" applyFont="1" applyBorder="1" applyAlignment="1">
      <alignment horizontal="center" vertical="center"/>
    </xf>
    <xf numFmtId="0" fontId="21" fillId="0" borderId="25" xfId="0" applyFont="1" applyBorder="1" applyAlignment="1">
      <alignment horizontal="center" vertical="center"/>
    </xf>
    <xf numFmtId="0" fontId="21" fillId="0" borderId="1" xfId="0" applyFont="1" applyBorder="1" applyAlignment="1">
      <alignment horizontal="center" vertical="center" wrapText="1"/>
    </xf>
    <xf numFmtId="0" fontId="21" fillId="0" borderId="26" xfId="0" applyFont="1" applyBorder="1" applyAlignment="1">
      <alignment horizontal="center" vertical="center"/>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7" xfId="0" applyFont="1" applyBorder="1" applyAlignment="1">
      <alignment horizontal="center"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15" fillId="0" borderId="1" xfId="5" applyFont="1" applyFill="1" applyBorder="1" applyAlignment="1">
      <alignment horizontal="distributed" vertical="center"/>
    </xf>
    <xf numFmtId="0" fontId="15" fillId="0" borderId="15" xfId="5" applyFont="1" applyFill="1" applyBorder="1" applyAlignment="1">
      <alignment horizontal="distributed" vertical="center"/>
    </xf>
    <xf numFmtId="0" fontId="15" fillId="0" borderId="16" xfId="5" applyFont="1" applyFill="1" applyBorder="1" applyAlignment="1">
      <alignment horizontal="distributed" vertical="center"/>
    </xf>
    <xf numFmtId="0" fontId="15" fillId="0" borderId="1" xfId="5" applyFont="1" applyFill="1" applyBorder="1" applyAlignment="1">
      <alignment horizontal="center" vertical="center" textRotation="255"/>
    </xf>
    <xf numFmtId="0" fontId="15" fillId="0" borderId="14" xfId="5" applyFont="1" applyFill="1" applyBorder="1" applyAlignment="1">
      <alignment horizontal="distributed" vertical="center"/>
    </xf>
    <xf numFmtId="0" fontId="15" fillId="0" borderId="15" xfId="6" applyFont="1" applyFill="1" applyBorder="1" applyAlignment="1">
      <alignment horizontal="distributed" vertical="center"/>
    </xf>
    <xf numFmtId="0" fontId="29" fillId="2" borderId="11"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9" xfId="0" applyFont="1" applyFill="1" applyBorder="1" applyAlignment="1">
      <alignment horizontal="left" vertical="center" indent="1"/>
    </xf>
    <xf numFmtId="0" fontId="29" fillId="2" borderId="10" xfId="0" applyFont="1" applyFill="1" applyBorder="1" applyAlignment="1">
      <alignment horizontal="left" vertical="center" indent="1"/>
    </xf>
    <xf numFmtId="0" fontId="29" fillId="2" borderId="1" xfId="0" applyFont="1" applyFill="1" applyBorder="1" applyAlignment="1">
      <alignment horizontal="center" vertical="center"/>
    </xf>
    <xf numFmtId="0" fontId="21" fillId="0" borderId="17" xfId="0" applyFont="1" applyBorder="1" applyAlignment="1">
      <alignment horizontal="center" vertical="center"/>
    </xf>
    <xf numFmtId="0" fontId="21" fillId="0" borderId="1" xfId="0" applyFont="1" applyBorder="1" applyAlignment="1">
      <alignment horizontal="center" vertical="center" textRotation="255" wrapText="1"/>
    </xf>
    <xf numFmtId="0" fontId="21" fillId="0" borderId="1" xfId="0" applyFont="1" applyBorder="1" applyAlignment="1">
      <alignment horizontal="center" vertical="center" textRotation="255"/>
    </xf>
    <xf numFmtId="0" fontId="32" fillId="3" borderId="1" xfId="0" applyFont="1" applyFill="1" applyBorder="1" applyAlignment="1">
      <alignment horizontal="center" vertical="center"/>
    </xf>
    <xf numFmtId="0" fontId="32" fillId="3" borderId="2" xfId="0" applyFont="1" applyFill="1" applyBorder="1" applyAlignment="1">
      <alignment horizontal="center" vertical="center"/>
    </xf>
    <xf numFmtId="0" fontId="32" fillId="3" borderId="4" xfId="0" applyFont="1" applyFill="1" applyBorder="1" applyAlignment="1">
      <alignment horizontal="center" vertical="center"/>
    </xf>
    <xf numFmtId="178" fontId="33" fillId="0" borderId="1" xfId="0" applyNumberFormat="1" applyFont="1" applyBorder="1" applyAlignment="1">
      <alignment horizontal="center" vertical="center"/>
    </xf>
    <xf numFmtId="0" fontId="33" fillId="0" borderId="1" xfId="0" applyFont="1" applyBorder="1" applyAlignment="1">
      <alignment horizontal="distributed" vertical="center" indent="1"/>
    </xf>
    <xf numFmtId="0" fontId="33" fillId="0" borderId="1" xfId="0" applyFont="1" applyBorder="1" applyAlignment="1">
      <alignment horizontal="center" vertical="center"/>
    </xf>
    <xf numFmtId="0" fontId="33" fillId="0" borderId="17" xfId="0" applyFont="1" applyBorder="1" applyAlignment="1">
      <alignment horizontal="distributed" vertical="center"/>
    </xf>
    <xf numFmtId="0" fontId="33" fillId="0" borderId="2" xfId="0" applyFont="1" applyBorder="1" applyAlignment="1">
      <alignment horizontal="distributed" vertical="center" indent="1"/>
    </xf>
    <xf numFmtId="0" fontId="33" fillId="0" borderId="3" xfId="0" applyFont="1" applyBorder="1" applyAlignment="1">
      <alignment horizontal="distributed" vertical="center" indent="1"/>
    </xf>
    <xf numFmtId="0" fontId="33" fillId="0" borderId="1" xfId="0" applyFont="1" applyBorder="1" applyAlignment="1">
      <alignment horizontal="distributed" vertical="center" wrapText="1" indent="1"/>
    </xf>
    <xf numFmtId="0" fontId="22" fillId="2" borderId="1" xfId="0" applyNumberFormat="1" applyFont="1" applyFill="1" applyBorder="1" applyAlignment="1">
      <alignment horizontal="center" vertical="center"/>
    </xf>
    <xf numFmtId="0" fontId="33" fillId="0" borderId="1" xfId="0" applyNumberFormat="1" applyFont="1" applyBorder="1" applyAlignment="1">
      <alignment horizontal="distributed" vertical="center" wrapText="1" indent="1"/>
    </xf>
    <xf numFmtId="0" fontId="33" fillId="0" borderId="1" xfId="0" applyNumberFormat="1" applyFont="1" applyBorder="1" applyAlignment="1">
      <alignment horizontal="distributed" vertical="center" indent="1"/>
    </xf>
    <xf numFmtId="0" fontId="33" fillId="0" borderId="1" xfId="0" applyNumberFormat="1" applyFont="1" applyBorder="1" applyAlignment="1">
      <alignment horizontal="center" vertical="center"/>
    </xf>
    <xf numFmtId="0" fontId="33" fillId="0" borderId="2" xfId="0" applyNumberFormat="1" applyFont="1" applyFill="1" applyBorder="1" applyAlignment="1">
      <alignment horizontal="center" vertical="center"/>
    </xf>
    <xf numFmtId="0" fontId="33" fillId="0" borderId="3" xfId="0" applyNumberFormat="1" applyFont="1" applyFill="1" applyBorder="1" applyAlignment="1">
      <alignment horizontal="center" vertical="center"/>
    </xf>
    <xf numFmtId="0" fontId="33" fillId="0" borderId="4" xfId="0" applyNumberFormat="1" applyFont="1" applyFill="1" applyBorder="1" applyAlignment="1">
      <alignment horizontal="center" vertical="center"/>
    </xf>
    <xf numFmtId="0" fontId="33" fillId="0" borderId="2" xfId="0" applyNumberFormat="1" applyFont="1" applyBorder="1" applyAlignment="1">
      <alignment horizontal="distributed" vertical="center" wrapText="1"/>
    </xf>
    <xf numFmtId="0" fontId="33" fillId="0" borderId="4" xfId="0" applyNumberFormat="1" applyFont="1" applyBorder="1" applyAlignment="1">
      <alignment horizontal="distributed" vertical="center" wrapText="1"/>
    </xf>
    <xf numFmtId="0" fontId="22" fillId="2" borderId="1" xfId="0" applyFont="1" applyFill="1" applyBorder="1" applyAlignment="1">
      <alignment horizontal="center" vertical="center" wrapText="1"/>
    </xf>
    <xf numFmtId="0" fontId="33" fillId="0" borderId="1" xfId="0" applyNumberFormat="1" applyFont="1" applyFill="1" applyBorder="1" applyAlignment="1">
      <alignment horizontal="center" vertical="center" wrapText="1"/>
    </xf>
    <xf numFmtId="0" fontId="33" fillId="0" borderId="2" xfId="0" applyNumberFormat="1" applyFont="1" applyBorder="1" applyAlignment="1">
      <alignment horizontal="distributed" vertical="center"/>
    </xf>
    <xf numFmtId="0" fontId="33" fillId="0" borderId="4" xfId="0" applyNumberFormat="1" applyFont="1" applyBorder="1" applyAlignment="1">
      <alignment horizontal="distributed" vertical="center"/>
    </xf>
    <xf numFmtId="0" fontId="33" fillId="0" borderId="5" xfId="0" applyNumberFormat="1" applyFont="1" applyBorder="1" applyAlignment="1">
      <alignment horizontal="center" vertical="center"/>
    </xf>
    <xf numFmtId="0" fontId="33" fillId="0" borderId="6" xfId="0" applyNumberFormat="1" applyFont="1" applyBorder="1" applyAlignment="1">
      <alignment horizontal="center" vertical="center"/>
    </xf>
    <xf numFmtId="0" fontId="36" fillId="0" borderId="17" xfId="0" applyFont="1" applyBorder="1" applyAlignment="1">
      <alignment horizontal="center" vertical="center"/>
    </xf>
    <xf numFmtId="0" fontId="34" fillId="3" borderId="1" xfId="0" applyFont="1" applyFill="1" applyBorder="1" applyAlignment="1">
      <alignment horizontal="center" vertical="center"/>
    </xf>
    <xf numFmtId="0" fontId="35" fillId="0" borderId="2" xfId="0" applyNumberFormat="1" applyFont="1" applyBorder="1" applyAlignment="1">
      <alignment horizontal="center" vertical="center" shrinkToFit="1"/>
    </xf>
    <xf numFmtId="0" fontId="35" fillId="0" borderId="4" xfId="0" applyNumberFormat="1" applyFont="1" applyBorder="1" applyAlignment="1">
      <alignment horizontal="center" vertical="center" shrinkToFit="1"/>
    </xf>
    <xf numFmtId="0" fontId="35" fillId="0" borderId="3" xfId="0" applyNumberFormat="1" applyFont="1" applyBorder="1" applyAlignment="1">
      <alignment horizontal="center" vertical="center" shrinkToFi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23" fillId="3" borderId="1" xfId="8" applyNumberFormat="1" applyFont="1" applyFill="1" applyBorder="1" applyAlignment="1">
      <alignment horizontal="center" vertical="center"/>
    </xf>
    <xf numFmtId="0" fontId="23" fillId="3" borderId="1" xfId="1" applyNumberFormat="1" applyFont="1" applyFill="1" applyBorder="1" applyAlignment="1">
      <alignment horizontal="center" vertical="center"/>
    </xf>
    <xf numFmtId="0" fontId="3" fillId="0" borderId="1" xfId="0" applyNumberFormat="1" applyFont="1" applyBorder="1" applyAlignment="1">
      <alignment horizontal="center" vertical="center"/>
    </xf>
    <xf numFmtId="0" fontId="3" fillId="0" borderId="5" xfId="0" applyNumberFormat="1" applyFont="1" applyBorder="1" applyAlignment="1">
      <alignment vertical="center"/>
    </xf>
    <xf numFmtId="0" fontId="3" fillId="0" borderId="6" xfId="0" applyNumberFormat="1" applyFont="1" applyBorder="1" applyAlignment="1">
      <alignment vertical="center"/>
    </xf>
    <xf numFmtId="0" fontId="3" fillId="0" borderId="1" xfId="0" applyFont="1" applyBorder="1" applyAlignment="1">
      <alignment horizontal="center" vertical="center"/>
    </xf>
    <xf numFmtId="0" fontId="15" fillId="0" borderId="17" xfId="0" applyFont="1" applyBorder="1" applyAlignment="1">
      <alignment horizontal="center" vertical="center"/>
    </xf>
    <xf numFmtId="0" fontId="3" fillId="0" borderId="17" xfId="0" applyFont="1" applyBorder="1" applyAlignment="1">
      <alignment horizontal="center" vertical="center"/>
    </xf>
    <xf numFmtId="0" fontId="15" fillId="0" borderId="1" xfId="0" applyFont="1" applyBorder="1" applyAlignment="1">
      <alignment horizontal="distributed" vertical="center" textRotation="255"/>
    </xf>
    <xf numFmtId="0" fontId="39" fillId="3" borderId="1" xfId="0" applyFont="1" applyFill="1" applyBorder="1" applyAlignment="1">
      <alignment horizontal="center" vertical="center"/>
    </xf>
    <xf numFmtId="10" fontId="3" fillId="0" borderId="2" xfId="7" applyNumberFormat="1" applyFont="1" applyBorder="1" applyAlignment="1">
      <alignment horizontal="center" vertical="center" shrinkToFit="1"/>
    </xf>
    <xf numFmtId="10" fontId="3" fillId="0" borderId="3" xfId="7" applyNumberFormat="1" applyFont="1" applyBorder="1" applyAlignment="1">
      <alignment horizontal="center" vertical="center" shrinkToFit="1"/>
    </xf>
    <xf numFmtId="0" fontId="23" fillId="3" borderId="2" xfId="8" applyNumberFormat="1" applyFont="1" applyFill="1" applyBorder="1" applyAlignment="1">
      <alignment horizontal="center" vertical="center"/>
    </xf>
    <xf numFmtId="0" fontId="23" fillId="3" borderId="4" xfId="8" applyNumberFormat="1" applyFont="1" applyFill="1" applyBorder="1" applyAlignment="1">
      <alignment horizontal="center" vertical="center"/>
    </xf>
    <xf numFmtId="0" fontId="23" fillId="3" borderId="2" xfId="8" applyNumberFormat="1" applyFont="1" applyFill="1" applyBorder="1" applyAlignment="1">
      <alignment horizontal="center" vertical="center" wrapText="1"/>
    </xf>
    <xf numFmtId="0" fontId="23" fillId="3" borderId="5" xfId="1" applyNumberFormat="1" applyFont="1" applyFill="1" applyBorder="1" applyAlignment="1">
      <alignment horizontal="center" vertical="center"/>
    </xf>
    <xf numFmtId="0" fontId="23" fillId="3" borderId="7" xfId="1" applyNumberFormat="1" applyFont="1" applyFill="1" applyBorder="1" applyAlignment="1">
      <alignment horizontal="center" vertical="center"/>
    </xf>
    <xf numFmtId="0" fontId="23" fillId="3" borderId="6" xfId="1" applyNumberFormat="1" applyFont="1" applyFill="1" applyBorder="1" applyAlignment="1">
      <alignment horizontal="center" vertical="center"/>
    </xf>
    <xf numFmtId="0" fontId="23" fillId="3" borderId="2" xfId="1" applyNumberFormat="1" applyFont="1" applyFill="1" applyBorder="1" applyAlignment="1">
      <alignment horizontal="center" vertical="center"/>
    </xf>
    <xf numFmtId="0" fontId="23" fillId="3" borderId="4" xfId="1" applyNumberFormat="1" applyFont="1" applyFill="1" applyBorder="1" applyAlignment="1">
      <alignment horizontal="center" vertical="center"/>
    </xf>
    <xf numFmtId="182" fontId="3" fillId="0" borderId="2" xfId="7" applyNumberFormat="1" applyFont="1" applyBorder="1" applyAlignment="1">
      <alignment horizontal="center" vertical="center" shrinkToFit="1"/>
    </xf>
    <xf numFmtId="182" fontId="3" fillId="0" borderId="3" xfId="7" applyNumberFormat="1" applyFont="1" applyBorder="1" applyAlignment="1">
      <alignment horizontal="center" vertical="center" shrinkToFit="1"/>
    </xf>
  </cellXfs>
  <cellStyles count="9">
    <cellStyle name="백분율" xfId="7" builtinId="5"/>
    <cellStyle name="쉼표 [0]" xfId="1" builtinId="6"/>
    <cellStyle name="쉼표 [0]_인천해사" xfId="3"/>
    <cellStyle name="표준" xfId="0" builtinId="0"/>
    <cellStyle name="표준_동작문화센터" xfId="4"/>
    <cellStyle name="표준_법무연수원" xfId="5"/>
    <cellStyle name="표준_본문_1" xfId="2"/>
    <cellStyle name="표준_위생" xfId="8"/>
    <cellStyle name="표준_일반관리비"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38100</xdr:colOff>
      <xdr:row>3</xdr:row>
      <xdr:rowOff>0</xdr:rowOff>
    </xdr:to>
    <xdr:sp macro="" textlink="">
      <xdr:nvSpPr>
        <xdr:cNvPr id="3" name="Line 6"/>
        <xdr:cNvSpPr>
          <a:spLocks noChangeShapeType="1"/>
        </xdr:cNvSpPr>
      </xdr:nvSpPr>
      <xdr:spPr bwMode="auto">
        <a:xfrm>
          <a:off x="0" y="1266825"/>
          <a:ext cx="2228850" cy="0"/>
        </a:xfrm>
        <a:prstGeom prst="line">
          <a:avLst/>
        </a:prstGeom>
        <a:noFill/>
        <a:ln w="57150" cmpd="thinThick">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0"/>
  <sheetViews>
    <sheetView tabSelected="1" view="pageBreakPreview" zoomScaleNormal="100" zoomScaleSheetLayoutView="100" workbookViewId="0">
      <selection activeCell="B10" sqref="B10"/>
    </sheetView>
  </sheetViews>
  <sheetFormatPr defaultRowHeight="50.1" customHeight="1"/>
  <cols>
    <col min="1" max="1" width="6.625" style="122" customWidth="1"/>
    <col min="2" max="7" width="9" style="122"/>
    <col min="8" max="8" width="6.625" style="122" customWidth="1"/>
    <col min="9" max="16384" width="9" style="122"/>
  </cols>
  <sheetData>
    <row r="1" spans="1:8" s="121" customFormat="1" ht="50.1" customHeight="1">
      <c r="A1" s="159" t="s">
        <v>302</v>
      </c>
      <c r="B1" s="159"/>
      <c r="C1" s="159"/>
      <c r="D1" s="159"/>
      <c r="E1" s="159"/>
      <c r="F1" s="159"/>
      <c r="G1" s="159"/>
      <c r="H1" s="159"/>
    </row>
    <row r="2" spans="1:8" s="121" customFormat="1" ht="50.1" customHeight="1">
      <c r="A2" s="23"/>
      <c r="B2" s="23"/>
      <c r="C2" s="23"/>
      <c r="D2" s="23"/>
      <c r="E2" s="23"/>
      <c r="F2" s="23"/>
      <c r="G2" s="23"/>
      <c r="H2" s="23"/>
    </row>
    <row r="3" spans="1:8" ht="60" customHeight="1">
      <c r="A3" s="122" t="s">
        <v>306</v>
      </c>
      <c r="H3" s="122">
        <v>1</v>
      </c>
    </row>
    <row r="4" spans="1:8" ht="60" customHeight="1">
      <c r="A4" s="122" t="s">
        <v>307</v>
      </c>
      <c r="H4" s="122">
        <v>2</v>
      </c>
    </row>
    <row r="5" spans="1:8" ht="60" customHeight="1">
      <c r="A5" s="122" t="s">
        <v>308</v>
      </c>
      <c r="H5" s="122">
        <v>3</v>
      </c>
    </row>
    <row r="6" spans="1:8" ht="60" customHeight="1">
      <c r="A6" s="122" t="s">
        <v>445</v>
      </c>
      <c r="H6" s="122">
        <v>4</v>
      </c>
    </row>
    <row r="7" spans="1:8" ht="60" customHeight="1">
      <c r="A7" s="122" t="s">
        <v>309</v>
      </c>
      <c r="H7" s="122">
        <v>5</v>
      </c>
    </row>
    <row r="8" spans="1:8" ht="60" customHeight="1">
      <c r="B8" s="122" t="s">
        <v>304</v>
      </c>
      <c r="H8" s="122">
        <v>9</v>
      </c>
    </row>
    <row r="9" spans="1:8" ht="60" customHeight="1">
      <c r="B9" s="122" t="s">
        <v>303</v>
      </c>
      <c r="H9" s="122">
        <v>23</v>
      </c>
    </row>
    <row r="10" spans="1:8" ht="60" customHeight="1">
      <c r="A10" s="122" t="s">
        <v>310</v>
      </c>
      <c r="H10" s="122">
        <v>33</v>
      </c>
    </row>
  </sheetData>
  <mergeCells count="1">
    <mergeCell ref="A1:H1"/>
  </mergeCells>
  <phoneticPr fontId="4" type="noConversion"/>
  <printOptions horizontalCentered="1"/>
  <pageMargins left="0.59055118110236227" right="0.59055118110236227" top="1.5748031496062993" bottom="1.1811023622047245" header="0.70866141732283472" footer="0.51181102362204722"/>
  <pageSetup paperSize="9" orientation="portrait" r:id="rId1"/>
</worksheet>
</file>

<file path=xl/worksheets/sheet10.xml><?xml version="1.0" encoding="utf-8"?>
<worksheet xmlns="http://schemas.openxmlformats.org/spreadsheetml/2006/main" xmlns:r="http://schemas.openxmlformats.org/officeDocument/2006/relationships">
  <dimension ref="A1:W13"/>
  <sheetViews>
    <sheetView view="pageBreakPreview" zoomScaleNormal="100" zoomScaleSheetLayoutView="100" workbookViewId="0">
      <selection activeCell="I18" sqref="I18"/>
    </sheetView>
  </sheetViews>
  <sheetFormatPr defaultRowHeight="30" customHeight="1"/>
  <cols>
    <col min="1" max="1" width="83.25" style="1" customWidth="1"/>
    <col min="2" max="2" width="9" style="1"/>
    <col min="3" max="3" width="83.25" style="1" customWidth="1"/>
    <col min="4" max="16384" width="9" style="1"/>
  </cols>
  <sheetData>
    <row r="1" spans="1:23" s="2" customFormat="1" ht="45" customHeight="1">
      <c r="A1" s="12" t="s">
        <v>72</v>
      </c>
      <c r="B1" s="8"/>
      <c r="C1" s="8"/>
      <c r="D1" s="8"/>
      <c r="E1" s="8"/>
      <c r="F1" s="8"/>
      <c r="G1" s="8"/>
      <c r="H1" s="8"/>
      <c r="I1" s="8"/>
      <c r="J1" s="8"/>
      <c r="K1" s="8"/>
      <c r="L1" s="8"/>
      <c r="M1" s="8"/>
      <c r="N1" s="8"/>
      <c r="O1" s="8"/>
      <c r="P1" s="8"/>
      <c r="Q1" s="8"/>
      <c r="R1" s="8"/>
      <c r="S1" s="8"/>
      <c r="T1" s="8"/>
      <c r="U1" s="8"/>
      <c r="V1" s="8"/>
      <c r="W1" s="8"/>
    </row>
    <row r="3" spans="1:23" s="9" customFormat="1" ht="30" customHeight="1">
      <c r="A3" s="14" t="s">
        <v>73</v>
      </c>
    </row>
    <row r="4" spans="1:23" s="11" customFormat="1" ht="39.950000000000003" customHeight="1">
      <c r="A4" s="10" t="s">
        <v>392</v>
      </c>
    </row>
    <row r="5" spans="1:23" s="9" customFormat="1" ht="20.100000000000001" customHeight="1"/>
    <row r="6" spans="1:23" s="9" customFormat="1" ht="30" customHeight="1">
      <c r="A6" s="14" t="s">
        <v>74</v>
      </c>
    </row>
    <row r="7" spans="1:23" s="9" customFormat="1" ht="65.099999999999994" customHeight="1">
      <c r="A7" s="10" t="s">
        <v>472</v>
      </c>
      <c r="C7" s="10"/>
    </row>
    <row r="8" spans="1:23" s="9" customFormat="1" ht="20.100000000000001" customHeight="1"/>
    <row r="9" spans="1:23" s="9" customFormat="1" ht="30" customHeight="1">
      <c r="A9" s="14" t="s">
        <v>76</v>
      </c>
    </row>
    <row r="10" spans="1:23" s="9" customFormat="1" ht="90" customHeight="1">
      <c r="A10" s="10" t="s">
        <v>391</v>
      </c>
    </row>
    <row r="11" spans="1:23" s="9" customFormat="1" ht="20.100000000000001" customHeight="1"/>
    <row r="12" spans="1:23" s="9" customFormat="1" ht="30" customHeight="1">
      <c r="A12" s="14" t="s">
        <v>78</v>
      </c>
    </row>
    <row r="13" spans="1:23" s="9" customFormat="1" ht="65.099999999999994" customHeight="1">
      <c r="A13" s="10" t="s">
        <v>77</v>
      </c>
    </row>
  </sheetData>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dimension ref="A1:I23"/>
  <sheetViews>
    <sheetView view="pageBreakPreview" zoomScaleNormal="100" zoomScaleSheetLayoutView="100" workbookViewId="0">
      <selection activeCell="I18" sqref="I18"/>
    </sheetView>
  </sheetViews>
  <sheetFormatPr defaultRowHeight="24.95" customHeight="1"/>
  <cols>
    <col min="1" max="2" width="15.625" style="2" customWidth="1"/>
    <col min="3" max="4" width="6.625" style="2" customWidth="1"/>
    <col min="5" max="6" width="16.625" style="2" customWidth="1"/>
    <col min="7" max="7" width="10.625" style="2" customWidth="1"/>
    <col min="8" max="8" width="16.625" style="2" customWidth="1"/>
    <col min="9" max="9" width="11.625" style="2" customWidth="1"/>
    <col min="10" max="16384" width="9" style="2"/>
  </cols>
  <sheetData>
    <row r="1" spans="1:9" ht="39.950000000000003" customHeight="1">
      <c r="A1" s="165" t="s">
        <v>79</v>
      </c>
      <c r="B1" s="165"/>
      <c r="C1" s="165"/>
      <c r="D1" s="165"/>
      <c r="E1" s="165"/>
      <c r="F1" s="165"/>
      <c r="G1" s="165"/>
      <c r="H1" s="165"/>
      <c r="I1" s="165"/>
    </row>
    <row r="2" spans="1:9" ht="15" customHeight="1"/>
    <row r="3" spans="1:9" ht="24.95" customHeight="1">
      <c r="A3" s="24" t="str">
        <f>원가!A3</f>
        <v>▣ 건   명 : 경기상상캠퍼스 시설관리용역(시설, 미화, 경비)</v>
      </c>
      <c r="I3" s="43" t="s">
        <v>80</v>
      </c>
    </row>
    <row r="4" spans="1:9" ht="24.95" customHeight="1">
      <c r="A4" s="170" t="s">
        <v>105</v>
      </c>
      <c r="B4" s="170"/>
      <c r="C4" s="21" t="s">
        <v>81</v>
      </c>
      <c r="D4" s="170" t="s">
        <v>102</v>
      </c>
      <c r="E4" s="170"/>
      <c r="F4" s="170"/>
      <c r="G4" s="21" t="s">
        <v>82</v>
      </c>
      <c r="H4" s="21" t="s">
        <v>103</v>
      </c>
      <c r="I4" s="21" t="s">
        <v>83</v>
      </c>
    </row>
    <row r="5" spans="1:9" ht="20.100000000000001" customHeight="1">
      <c r="A5" s="219" t="s">
        <v>409</v>
      </c>
      <c r="B5" s="216" t="s">
        <v>416</v>
      </c>
      <c r="C5" s="215">
        <v>1</v>
      </c>
      <c r="D5" s="215" t="s">
        <v>84</v>
      </c>
      <c r="E5" s="54" t="s">
        <v>403</v>
      </c>
      <c r="F5" s="55" t="s">
        <v>401</v>
      </c>
      <c r="G5" s="54">
        <v>1</v>
      </c>
      <c r="H5" s="54" t="s">
        <v>104</v>
      </c>
      <c r="I5" s="217" t="s">
        <v>85</v>
      </c>
    </row>
    <row r="6" spans="1:9" ht="20.100000000000001" customHeight="1">
      <c r="A6" s="220"/>
      <c r="B6" s="216"/>
      <c r="C6" s="215"/>
      <c r="D6" s="215"/>
      <c r="E6" s="56" t="s">
        <v>405</v>
      </c>
      <c r="F6" s="57" t="s">
        <v>86</v>
      </c>
      <c r="G6" s="56"/>
      <c r="H6" s="56"/>
      <c r="I6" s="217"/>
    </row>
    <row r="7" spans="1:9" ht="20.100000000000001" customHeight="1">
      <c r="A7" s="220"/>
      <c r="B7" s="216" t="s">
        <v>359</v>
      </c>
      <c r="C7" s="215">
        <v>1</v>
      </c>
      <c r="D7" s="215" t="s">
        <v>84</v>
      </c>
      <c r="E7" s="54" t="s">
        <v>402</v>
      </c>
      <c r="F7" s="55" t="s">
        <v>453</v>
      </c>
      <c r="G7" s="54">
        <v>1</v>
      </c>
      <c r="H7" s="54" t="s">
        <v>104</v>
      </c>
      <c r="I7" s="215" t="s">
        <v>85</v>
      </c>
    </row>
    <row r="8" spans="1:9" ht="20.100000000000001" customHeight="1">
      <c r="A8" s="220"/>
      <c r="B8" s="216"/>
      <c r="C8" s="215"/>
      <c r="D8" s="215"/>
      <c r="E8" s="56" t="s">
        <v>404</v>
      </c>
      <c r="F8" s="57" t="s">
        <v>87</v>
      </c>
      <c r="G8" s="56"/>
      <c r="H8" s="56"/>
      <c r="I8" s="215"/>
    </row>
    <row r="9" spans="1:9" ht="20.100000000000001" customHeight="1">
      <c r="A9" s="220"/>
      <c r="B9" s="216" t="s">
        <v>417</v>
      </c>
      <c r="C9" s="215">
        <v>1</v>
      </c>
      <c r="D9" s="215" t="s">
        <v>84</v>
      </c>
      <c r="E9" s="54" t="s">
        <v>403</v>
      </c>
      <c r="F9" s="55" t="s">
        <v>452</v>
      </c>
      <c r="G9" s="54">
        <v>1</v>
      </c>
      <c r="H9" s="54" t="s">
        <v>104</v>
      </c>
      <c r="I9" s="217" t="s">
        <v>85</v>
      </c>
    </row>
    <row r="10" spans="1:9" ht="20.100000000000001" customHeight="1">
      <c r="A10" s="220"/>
      <c r="B10" s="216"/>
      <c r="C10" s="215"/>
      <c r="D10" s="215"/>
      <c r="E10" s="56" t="s">
        <v>405</v>
      </c>
      <c r="F10" s="57" t="s">
        <v>86</v>
      </c>
      <c r="G10" s="56"/>
      <c r="H10" s="56"/>
      <c r="I10" s="217"/>
    </row>
    <row r="11" spans="1:9" ht="20.100000000000001" customHeight="1">
      <c r="A11" s="220"/>
      <c r="B11" s="216" t="s">
        <v>418</v>
      </c>
      <c r="C11" s="215">
        <v>1</v>
      </c>
      <c r="D11" s="215" t="s">
        <v>84</v>
      </c>
      <c r="E11" s="54" t="s">
        <v>402</v>
      </c>
      <c r="F11" s="55" t="s">
        <v>452</v>
      </c>
      <c r="G11" s="54">
        <v>1</v>
      </c>
      <c r="H11" s="54" t="s">
        <v>104</v>
      </c>
      <c r="I11" s="215" t="s">
        <v>85</v>
      </c>
    </row>
    <row r="12" spans="1:9" ht="20.100000000000001" customHeight="1">
      <c r="A12" s="220"/>
      <c r="B12" s="216"/>
      <c r="C12" s="215"/>
      <c r="D12" s="215"/>
      <c r="E12" s="56" t="s">
        <v>404</v>
      </c>
      <c r="F12" s="57" t="s">
        <v>87</v>
      </c>
      <c r="G12" s="56"/>
      <c r="H12" s="56"/>
      <c r="I12" s="215"/>
    </row>
    <row r="13" spans="1:9" ht="20.100000000000001" customHeight="1">
      <c r="A13" s="220"/>
      <c r="B13" s="216" t="s">
        <v>366</v>
      </c>
      <c r="C13" s="215">
        <v>1</v>
      </c>
      <c r="D13" s="215" t="s">
        <v>84</v>
      </c>
      <c r="E13" s="54" t="s">
        <v>402</v>
      </c>
      <c r="F13" s="55" t="s">
        <v>452</v>
      </c>
      <c r="G13" s="54">
        <v>1</v>
      </c>
      <c r="H13" s="54" t="s">
        <v>104</v>
      </c>
      <c r="I13" s="215" t="s">
        <v>85</v>
      </c>
    </row>
    <row r="14" spans="1:9" ht="20.100000000000001" customHeight="1">
      <c r="A14" s="220"/>
      <c r="B14" s="216"/>
      <c r="C14" s="215"/>
      <c r="D14" s="215"/>
      <c r="E14" s="56" t="s">
        <v>404</v>
      </c>
      <c r="F14" s="57" t="s">
        <v>87</v>
      </c>
      <c r="G14" s="56"/>
      <c r="H14" s="56"/>
      <c r="I14" s="215"/>
    </row>
    <row r="15" spans="1:9" ht="20.100000000000001" customHeight="1">
      <c r="A15" s="219" t="s">
        <v>410</v>
      </c>
      <c r="B15" s="216" t="s">
        <v>412</v>
      </c>
      <c r="C15" s="215">
        <v>1</v>
      </c>
      <c r="D15" s="215" t="s">
        <v>84</v>
      </c>
      <c r="E15" s="54" t="s">
        <v>402</v>
      </c>
      <c r="F15" s="55" t="s">
        <v>441</v>
      </c>
      <c r="G15" s="54">
        <v>1</v>
      </c>
      <c r="H15" s="54" t="s">
        <v>414</v>
      </c>
      <c r="I15" s="217" t="s">
        <v>85</v>
      </c>
    </row>
    <row r="16" spans="1:9" ht="20.100000000000001" customHeight="1">
      <c r="A16" s="220"/>
      <c r="B16" s="216"/>
      <c r="C16" s="215"/>
      <c r="D16" s="215"/>
      <c r="E16" s="56" t="s">
        <v>404</v>
      </c>
      <c r="F16" s="57" t="s">
        <v>87</v>
      </c>
      <c r="G16" s="56"/>
      <c r="H16" s="56"/>
      <c r="I16" s="217"/>
    </row>
    <row r="17" spans="1:9" ht="20.100000000000001" customHeight="1">
      <c r="A17" s="220"/>
      <c r="B17" s="216" t="s">
        <v>413</v>
      </c>
      <c r="C17" s="215">
        <v>4</v>
      </c>
      <c r="D17" s="215" t="s">
        <v>84</v>
      </c>
      <c r="E17" s="54" t="s">
        <v>402</v>
      </c>
      <c r="F17" s="55" t="s">
        <v>442</v>
      </c>
      <c r="G17" s="54">
        <v>1</v>
      </c>
      <c r="H17" s="54" t="s">
        <v>414</v>
      </c>
      <c r="I17" s="215" t="s">
        <v>85</v>
      </c>
    </row>
    <row r="18" spans="1:9" ht="20.100000000000001" customHeight="1">
      <c r="A18" s="220"/>
      <c r="B18" s="216"/>
      <c r="C18" s="215"/>
      <c r="D18" s="215"/>
      <c r="E18" s="56" t="s">
        <v>404</v>
      </c>
      <c r="F18" s="57" t="s">
        <v>87</v>
      </c>
      <c r="G18" s="56"/>
      <c r="H18" s="56"/>
      <c r="I18" s="215"/>
    </row>
    <row r="19" spans="1:9" ht="20.100000000000001" customHeight="1">
      <c r="A19" s="219" t="s">
        <v>411</v>
      </c>
      <c r="B19" s="221" t="s">
        <v>408</v>
      </c>
      <c r="C19" s="215">
        <v>3</v>
      </c>
      <c r="D19" s="149" t="s">
        <v>84</v>
      </c>
      <c r="E19" s="54" t="s">
        <v>402</v>
      </c>
      <c r="F19" s="55" t="s">
        <v>443</v>
      </c>
      <c r="G19" s="54">
        <v>1</v>
      </c>
      <c r="H19" s="54" t="s">
        <v>424</v>
      </c>
      <c r="I19" s="217" t="s">
        <v>406</v>
      </c>
    </row>
    <row r="20" spans="1:9" ht="24" customHeight="1">
      <c r="A20" s="220"/>
      <c r="B20" s="216"/>
      <c r="C20" s="215"/>
      <c r="D20" s="150" t="s">
        <v>407</v>
      </c>
      <c r="E20" s="56" t="s">
        <v>402</v>
      </c>
      <c r="F20" s="57" t="s">
        <v>444</v>
      </c>
      <c r="G20" s="56">
        <v>1</v>
      </c>
      <c r="H20" s="60" t="s">
        <v>463</v>
      </c>
      <c r="I20" s="217"/>
    </row>
    <row r="21" spans="1:9" ht="20.100000000000001" customHeight="1" thickBot="1">
      <c r="A21" s="220"/>
      <c r="B21" s="216"/>
      <c r="C21" s="215"/>
      <c r="D21" s="151"/>
      <c r="E21" s="58" t="s">
        <v>404</v>
      </c>
      <c r="F21" s="59" t="s">
        <v>86</v>
      </c>
      <c r="G21" s="58">
        <v>1</v>
      </c>
      <c r="H21" s="58"/>
      <c r="I21" s="217"/>
    </row>
    <row r="22" spans="1:9" ht="20.100000000000001" customHeight="1" thickTop="1">
      <c r="A22" s="218" t="s">
        <v>88</v>
      </c>
      <c r="B22" s="218"/>
      <c r="C22" s="52">
        <f>SUM(C5:C21)</f>
        <v>13</v>
      </c>
      <c r="D22" s="52"/>
      <c r="E22" s="53"/>
      <c r="F22" s="53"/>
      <c r="G22" s="53"/>
      <c r="H22" s="53"/>
      <c r="I22" s="53"/>
    </row>
    <row r="23" spans="1:9" ht="20.100000000000001" customHeight="1">
      <c r="A23" s="2" t="s">
        <v>415</v>
      </c>
    </row>
  </sheetData>
  <mergeCells count="38">
    <mergeCell ref="I15:I16"/>
    <mergeCell ref="B17:B18"/>
    <mergeCell ref="C17:C18"/>
    <mergeCell ref="D17:D18"/>
    <mergeCell ref="I17:I18"/>
    <mergeCell ref="D15:D16"/>
    <mergeCell ref="I9:I10"/>
    <mergeCell ref="A22:B22"/>
    <mergeCell ref="A5:A14"/>
    <mergeCell ref="A15:A18"/>
    <mergeCell ref="B15:B16"/>
    <mergeCell ref="C15:C16"/>
    <mergeCell ref="B19:B21"/>
    <mergeCell ref="C19:C21"/>
    <mergeCell ref="A19:A21"/>
    <mergeCell ref="B9:B10"/>
    <mergeCell ref="C9:C10"/>
    <mergeCell ref="B11:B12"/>
    <mergeCell ref="C11:C12"/>
    <mergeCell ref="D13:D14"/>
    <mergeCell ref="I13:I14"/>
    <mergeCell ref="I19:I21"/>
    <mergeCell ref="D11:D12"/>
    <mergeCell ref="I11:I12"/>
    <mergeCell ref="B13:B14"/>
    <mergeCell ref="C13:C14"/>
    <mergeCell ref="A1:I1"/>
    <mergeCell ref="A4:B4"/>
    <mergeCell ref="D4:F4"/>
    <mergeCell ref="B5:B6"/>
    <mergeCell ref="C5:C6"/>
    <mergeCell ref="D5:D6"/>
    <mergeCell ref="I5:I6"/>
    <mergeCell ref="D9:D10"/>
    <mergeCell ref="D7:D8"/>
    <mergeCell ref="I7:I8"/>
    <mergeCell ref="B7:B8"/>
    <mergeCell ref="C7:C8"/>
  </mergeCells>
  <phoneticPr fontId="4" type="noConversion"/>
  <pageMargins left="0.70866141732283472" right="1.0236220472440944" top="0.78740157480314965" bottom="0.59055118110236227" header="0.59055118110236227" footer="0.39370078740157483"/>
  <pageSetup paperSize="9" orientation="landscape" r:id="rId1"/>
</worksheet>
</file>

<file path=xl/worksheets/sheet12.xml><?xml version="1.0" encoding="utf-8"?>
<worksheet xmlns="http://schemas.openxmlformats.org/spreadsheetml/2006/main" xmlns:r="http://schemas.openxmlformats.org/officeDocument/2006/relationships">
  <dimension ref="A1:I17"/>
  <sheetViews>
    <sheetView view="pageBreakPreview" zoomScaleNormal="100" zoomScaleSheetLayoutView="100" workbookViewId="0">
      <selection activeCell="I18" sqref="I18"/>
    </sheetView>
  </sheetViews>
  <sheetFormatPr defaultRowHeight="24.95" customHeight="1"/>
  <cols>
    <col min="1" max="2" width="15.625" style="2" customWidth="1"/>
    <col min="3" max="4" width="6.625" style="2" customWidth="1"/>
    <col min="5" max="7" width="16.625" style="2" customWidth="1"/>
    <col min="8" max="8" width="10.625" style="2" customWidth="1"/>
    <col min="9" max="9" width="11.625" style="2" customWidth="1"/>
    <col min="10" max="16384" width="9" style="2"/>
  </cols>
  <sheetData>
    <row r="1" spans="1:9" ht="39.950000000000003" customHeight="1">
      <c r="A1" s="165" t="s">
        <v>90</v>
      </c>
      <c r="B1" s="165"/>
      <c r="C1" s="165"/>
      <c r="D1" s="165"/>
      <c r="E1" s="165"/>
      <c r="F1" s="165"/>
      <c r="G1" s="165"/>
      <c r="H1" s="165"/>
      <c r="I1" s="165"/>
    </row>
    <row r="2" spans="1:9" ht="15" customHeight="1">
      <c r="C2" s="46"/>
    </row>
    <row r="3" spans="1:9" ht="24.95" customHeight="1">
      <c r="A3" s="24" t="str">
        <f>원가!A3</f>
        <v>▣ 건   명 : 경기상상캠퍼스 시설관리용역(시설, 미화, 경비)</v>
      </c>
      <c r="C3" s="46"/>
      <c r="I3" s="43" t="s">
        <v>91</v>
      </c>
    </row>
    <row r="4" spans="1:9" ht="20.100000000000001" customHeight="1">
      <c r="A4" s="170" t="s">
        <v>23</v>
      </c>
      <c r="B4" s="170"/>
      <c r="C4" s="222" t="s">
        <v>3</v>
      </c>
      <c r="D4" s="170" t="s">
        <v>94</v>
      </c>
      <c r="E4" s="170"/>
      <c r="F4" s="170"/>
      <c r="G4" s="170"/>
      <c r="H4" s="170" t="s">
        <v>97</v>
      </c>
      <c r="I4" s="170" t="s">
        <v>100</v>
      </c>
    </row>
    <row r="5" spans="1:9" ht="24.95" customHeight="1">
      <c r="A5" s="170"/>
      <c r="B5" s="170"/>
      <c r="C5" s="222"/>
      <c r="D5" s="21" t="s">
        <v>89</v>
      </c>
      <c r="E5" s="22" t="s">
        <v>419</v>
      </c>
      <c r="F5" s="22" t="s">
        <v>96</v>
      </c>
      <c r="G5" s="21" t="s">
        <v>95</v>
      </c>
      <c r="H5" s="170"/>
      <c r="I5" s="170"/>
    </row>
    <row r="6" spans="1:9" ht="24.95" customHeight="1">
      <c r="A6" s="126" t="s">
        <v>356</v>
      </c>
      <c r="B6" s="49" t="s">
        <v>92</v>
      </c>
      <c r="C6" s="50" t="s">
        <v>93</v>
      </c>
      <c r="D6" s="50" t="s">
        <v>84</v>
      </c>
      <c r="E6" s="50" t="s">
        <v>98</v>
      </c>
      <c r="F6" s="50"/>
      <c r="G6" s="50" t="s">
        <v>99</v>
      </c>
      <c r="H6" s="50" t="s">
        <v>85</v>
      </c>
      <c r="I6" s="50"/>
    </row>
    <row r="7" spans="1:9" ht="24.95" customHeight="1">
      <c r="A7" s="126" t="s">
        <v>358</v>
      </c>
      <c r="B7" s="49" t="s">
        <v>92</v>
      </c>
      <c r="C7" s="50" t="s">
        <v>93</v>
      </c>
      <c r="D7" s="50" t="s">
        <v>84</v>
      </c>
      <c r="E7" s="50" t="s">
        <v>98</v>
      </c>
      <c r="F7" s="50"/>
      <c r="G7" s="50" t="s">
        <v>99</v>
      </c>
      <c r="H7" s="50" t="s">
        <v>85</v>
      </c>
      <c r="I7" s="51"/>
    </row>
    <row r="8" spans="1:9" ht="24.95" customHeight="1">
      <c r="A8" s="145" t="s">
        <v>361</v>
      </c>
      <c r="B8" s="124" t="s">
        <v>92</v>
      </c>
      <c r="C8" s="146" t="s">
        <v>93</v>
      </c>
      <c r="D8" s="146" t="s">
        <v>84</v>
      </c>
      <c r="E8" s="146" t="s">
        <v>98</v>
      </c>
      <c r="F8" s="146"/>
      <c r="G8" s="146" t="s">
        <v>99</v>
      </c>
      <c r="H8" s="146" t="s">
        <v>85</v>
      </c>
      <c r="I8" s="147"/>
    </row>
    <row r="9" spans="1:9" ht="24.95" customHeight="1">
      <c r="A9" s="145" t="s">
        <v>363</v>
      </c>
      <c r="B9" s="124" t="s">
        <v>92</v>
      </c>
      <c r="C9" s="146" t="s">
        <v>93</v>
      </c>
      <c r="D9" s="146" t="s">
        <v>84</v>
      </c>
      <c r="E9" s="146" t="s">
        <v>98</v>
      </c>
      <c r="F9" s="146"/>
      <c r="G9" s="146" t="s">
        <v>99</v>
      </c>
      <c r="H9" s="146" t="s">
        <v>85</v>
      </c>
      <c r="I9" s="147"/>
    </row>
    <row r="10" spans="1:9" ht="24.95" customHeight="1">
      <c r="A10" s="145" t="s">
        <v>365</v>
      </c>
      <c r="B10" s="124" t="s">
        <v>92</v>
      </c>
      <c r="C10" s="146" t="s">
        <v>93</v>
      </c>
      <c r="D10" s="146" t="s">
        <v>84</v>
      </c>
      <c r="E10" s="146" t="s">
        <v>98</v>
      </c>
      <c r="F10" s="146"/>
      <c r="G10" s="146" t="s">
        <v>99</v>
      </c>
      <c r="H10" s="146" t="s">
        <v>85</v>
      </c>
      <c r="I10" s="147"/>
    </row>
    <row r="11" spans="1:9" ht="24.95" customHeight="1">
      <c r="A11" s="145" t="s">
        <v>370</v>
      </c>
      <c r="B11" s="124" t="s">
        <v>92</v>
      </c>
      <c r="C11" s="146" t="s">
        <v>93</v>
      </c>
      <c r="D11" s="146" t="s">
        <v>84</v>
      </c>
      <c r="E11" s="146" t="s">
        <v>98</v>
      </c>
      <c r="F11" s="146"/>
      <c r="G11" s="146" t="s">
        <v>99</v>
      </c>
      <c r="H11" s="146" t="s">
        <v>85</v>
      </c>
      <c r="I11" s="147"/>
    </row>
    <row r="12" spans="1:9" ht="24.95" customHeight="1">
      <c r="A12" s="145" t="s">
        <v>388</v>
      </c>
      <c r="B12" s="124" t="s">
        <v>92</v>
      </c>
      <c r="C12" s="146" t="s">
        <v>93</v>
      </c>
      <c r="D12" s="146" t="s">
        <v>84</v>
      </c>
      <c r="E12" s="146" t="s">
        <v>98</v>
      </c>
      <c r="F12" s="146"/>
      <c r="G12" s="146" t="s">
        <v>99</v>
      </c>
      <c r="H12" s="146" t="s">
        <v>85</v>
      </c>
      <c r="I12" s="147"/>
    </row>
    <row r="13" spans="1:9" ht="24.95" customHeight="1">
      <c r="A13" s="223" t="s">
        <v>423</v>
      </c>
      <c r="B13" s="229" t="s">
        <v>462</v>
      </c>
      <c r="C13" s="225" t="s">
        <v>93</v>
      </c>
      <c r="D13" s="125" t="s">
        <v>84</v>
      </c>
      <c r="E13" s="225" t="s">
        <v>425</v>
      </c>
      <c r="F13" s="225"/>
      <c r="G13" s="158"/>
      <c r="H13" s="225" t="s">
        <v>426</v>
      </c>
      <c r="I13" s="226" t="s">
        <v>422</v>
      </c>
    </row>
    <row r="14" spans="1:9" ht="24.95" customHeight="1">
      <c r="A14" s="224"/>
      <c r="B14" s="230"/>
      <c r="C14" s="225"/>
      <c r="D14" s="146" t="s">
        <v>420</v>
      </c>
      <c r="E14" s="225" t="s">
        <v>464</v>
      </c>
      <c r="F14" s="225"/>
      <c r="G14" s="158"/>
      <c r="H14" s="225"/>
      <c r="I14" s="227"/>
    </row>
    <row r="15" spans="1:9" ht="24.95" customHeight="1">
      <c r="A15" s="224"/>
      <c r="B15" s="124" t="s">
        <v>459</v>
      </c>
      <c r="C15" s="225"/>
      <c r="D15" s="148" t="s">
        <v>461</v>
      </c>
      <c r="E15" s="148" t="s">
        <v>98</v>
      </c>
      <c r="F15" s="148"/>
      <c r="G15" s="148" t="s">
        <v>99</v>
      </c>
      <c r="H15" s="225"/>
      <c r="I15" s="227"/>
    </row>
    <row r="16" spans="1:9" ht="24.95" customHeight="1">
      <c r="A16" s="224"/>
      <c r="B16" s="124" t="s">
        <v>101</v>
      </c>
      <c r="C16" s="225"/>
      <c r="D16" s="125" t="s">
        <v>407</v>
      </c>
      <c r="E16" s="225" t="s">
        <v>421</v>
      </c>
      <c r="F16" s="225"/>
      <c r="G16" s="158"/>
      <c r="H16" s="225"/>
      <c r="I16" s="228"/>
    </row>
    <row r="17" spans="1:3" ht="24.95" customHeight="1">
      <c r="A17" s="2" t="s">
        <v>113</v>
      </c>
      <c r="C17" s="46"/>
    </row>
  </sheetData>
  <mergeCells count="14">
    <mergeCell ref="A13:A16"/>
    <mergeCell ref="C13:C16"/>
    <mergeCell ref="H13:H16"/>
    <mergeCell ref="I13:I16"/>
    <mergeCell ref="B13:B14"/>
    <mergeCell ref="E16:F16"/>
    <mergeCell ref="E14:F14"/>
    <mergeCell ref="E13:F13"/>
    <mergeCell ref="H4:H5"/>
    <mergeCell ref="I4:I5"/>
    <mergeCell ref="A1:I1"/>
    <mergeCell ref="A4:B5"/>
    <mergeCell ref="C4:C5"/>
    <mergeCell ref="D4:G4"/>
  </mergeCells>
  <phoneticPr fontId="4" type="noConversion"/>
  <pageMargins left="0.70866141732283472" right="1.0236220472440944" top="0.78740157480314965" bottom="0.59055118110236227" header="0.59055118110236227" footer="0.39370078740157483"/>
  <pageSetup paperSize="9" orientation="landscape" r:id="rId1"/>
</worksheet>
</file>

<file path=xl/worksheets/sheet13.xml><?xml version="1.0" encoding="utf-8"?>
<worksheet xmlns="http://schemas.openxmlformats.org/spreadsheetml/2006/main" xmlns:r="http://schemas.openxmlformats.org/officeDocument/2006/relationships">
  <dimension ref="A1:K19"/>
  <sheetViews>
    <sheetView view="pageBreakPreview" zoomScaleNormal="100" zoomScaleSheetLayoutView="100" workbookViewId="0">
      <selection activeCell="I18" sqref="I18"/>
    </sheetView>
  </sheetViews>
  <sheetFormatPr defaultRowHeight="24.95" customHeight="1"/>
  <cols>
    <col min="1" max="2" width="15.625" style="2" customWidth="1"/>
    <col min="3" max="4" width="6.625" style="2" customWidth="1"/>
    <col min="5" max="8" width="8.625" style="2" customWidth="1"/>
    <col min="9" max="9" width="16.625" style="2" customWidth="1"/>
    <col min="10" max="11" width="10.625" style="2" customWidth="1"/>
    <col min="12" max="16384" width="9" style="2"/>
  </cols>
  <sheetData>
    <row r="1" spans="1:11" ht="39.950000000000003" customHeight="1">
      <c r="A1" s="165" t="s">
        <v>114</v>
      </c>
      <c r="B1" s="165"/>
      <c r="C1" s="165"/>
      <c r="D1" s="165"/>
      <c r="E1" s="165"/>
      <c r="F1" s="165"/>
      <c r="G1" s="165"/>
      <c r="H1" s="165"/>
      <c r="I1" s="165"/>
      <c r="J1" s="165"/>
      <c r="K1" s="165"/>
    </row>
    <row r="2" spans="1:11" ht="15" customHeight="1">
      <c r="C2" s="46"/>
    </row>
    <row r="3" spans="1:11" ht="24.95" customHeight="1">
      <c r="A3" s="24" t="str">
        <f>원가!A3</f>
        <v>▣ 건   명 : 경기상상캠퍼스 시설관리용역(시설, 미화, 경비)</v>
      </c>
      <c r="C3" s="46"/>
      <c r="J3" s="43"/>
      <c r="K3" s="43" t="s">
        <v>110</v>
      </c>
    </row>
    <row r="4" spans="1:11" ht="15" customHeight="1">
      <c r="A4" s="170" t="s">
        <v>23</v>
      </c>
      <c r="B4" s="170"/>
      <c r="C4" s="222" t="s">
        <v>3</v>
      </c>
      <c r="D4" s="170" t="s">
        <v>94</v>
      </c>
      <c r="E4" s="170"/>
      <c r="F4" s="170"/>
      <c r="G4" s="170"/>
      <c r="H4" s="170"/>
      <c r="I4" s="231" t="s">
        <v>108</v>
      </c>
      <c r="J4" s="170" t="s">
        <v>109</v>
      </c>
      <c r="K4" s="170" t="s">
        <v>100</v>
      </c>
    </row>
    <row r="5" spans="1:11" ht="24.95" customHeight="1">
      <c r="A5" s="170"/>
      <c r="B5" s="170"/>
      <c r="C5" s="222"/>
      <c r="D5" s="103" t="s">
        <v>89</v>
      </c>
      <c r="E5" s="104" t="s">
        <v>427</v>
      </c>
      <c r="F5" s="104" t="s">
        <v>96</v>
      </c>
      <c r="G5" s="103" t="s">
        <v>95</v>
      </c>
      <c r="H5" s="103" t="s">
        <v>107</v>
      </c>
      <c r="I5" s="170"/>
      <c r="J5" s="170"/>
      <c r="K5" s="170"/>
    </row>
    <row r="6" spans="1:11" ht="24" customHeight="1">
      <c r="A6" s="126" t="s">
        <v>356</v>
      </c>
      <c r="B6" s="106" t="s">
        <v>92</v>
      </c>
      <c r="C6" s="105" t="s">
        <v>93</v>
      </c>
      <c r="D6" s="105" t="s">
        <v>111</v>
      </c>
      <c r="E6" s="105">
        <f t="shared" ref="E6:E12" si="0">8*5*1</f>
        <v>40</v>
      </c>
      <c r="F6" s="105"/>
      <c r="G6" s="105">
        <v>8</v>
      </c>
      <c r="H6" s="105">
        <f t="shared" ref="H6" si="1">SUM(E6:G6)</f>
        <v>48</v>
      </c>
      <c r="I6" s="105">
        <f t="shared" ref="I6" si="2">ROUND((365/7)/12*H6,0)</f>
        <v>209</v>
      </c>
      <c r="J6" s="105" t="s">
        <v>112</v>
      </c>
      <c r="K6" s="105"/>
    </row>
    <row r="7" spans="1:11" ht="24" customHeight="1">
      <c r="A7" s="126" t="s">
        <v>358</v>
      </c>
      <c r="B7" s="106" t="s">
        <v>92</v>
      </c>
      <c r="C7" s="105" t="s">
        <v>93</v>
      </c>
      <c r="D7" s="105" t="s">
        <v>84</v>
      </c>
      <c r="E7" s="105">
        <f t="shared" si="0"/>
        <v>40</v>
      </c>
      <c r="F7" s="105"/>
      <c r="G7" s="105">
        <v>8</v>
      </c>
      <c r="H7" s="105">
        <f t="shared" ref="H7" si="3">SUM(E7:G7)</f>
        <v>48</v>
      </c>
      <c r="I7" s="105">
        <f t="shared" ref="I7" si="4">ROUND((365/7)/12*H7,0)</f>
        <v>209</v>
      </c>
      <c r="J7" s="105" t="s">
        <v>112</v>
      </c>
      <c r="K7" s="107"/>
    </row>
    <row r="8" spans="1:11" ht="24" customHeight="1">
      <c r="A8" s="145" t="s">
        <v>361</v>
      </c>
      <c r="B8" s="124" t="s">
        <v>92</v>
      </c>
      <c r="C8" s="146" t="s">
        <v>93</v>
      </c>
      <c r="D8" s="146" t="s">
        <v>84</v>
      </c>
      <c r="E8" s="146">
        <f t="shared" si="0"/>
        <v>40</v>
      </c>
      <c r="F8" s="146"/>
      <c r="G8" s="146">
        <v>8</v>
      </c>
      <c r="H8" s="146">
        <f t="shared" ref="H8:H12" si="5">SUM(E8:G8)</f>
        <v>48</v>
      </c>
      <c r="I8" s="146">
        <f t="shared" ref="I8:I12" si="6">ROUND((365/7)/12*H8,0)</f>
        <v>209</v>
      </c>
      <c r="J8" s="146" t="s">
        <v>112</v>
      </c>
      <c r="K8" s="147"/>
    </row>
    <row r="9" spans="1:11" ht="24" customHeight="1">
      <c r="A9" s="145" t="s">
        <v>363</v>
      </c>
      <c r="B9" s="124" t="s">
        <v>92</v>
      </c>
      <c r="C9" s="146" t="s">
        <v>93</v>
      </c>
      <c r="D9" s="146" t="s">
        <v>84</v>
      </c>
      <c r="E9" s="146">
        <f t="shared" si="0"/>
        <v>40</v>
      </c>
      <c r="F9" s="146"/>
      <c r="G9" s="146">
        <v>8</v>
      </c>
      <c r="H9" s="146">
        <f t="shared" si="5"/>
        <v>48</v>
      </c>
      <c r="I9" s="146">
        <f t="shared" si="6"/>
        <v>209</v>
      </c>
      <c r="J9" s="146" t="s">
        <v>112</v>
      </c>
      <c r="K9" s="147"/>
    </row>
    <row r="10" spans="1:11" ht="24" customHeight="1">
      <c r="A10" s="145" t="s">
        <v>365</v>
      </c>
      <c r="B10" s="124" t="s">
        <v>92</v>
      </c>
      <c r="C10" s="146" t="s">
        <v>93</v>
      </c>
      <c r="D10" s="146" t="s">
        <v>84</v>
      </c>
      <c r="E10" s="146">
        <f t="shared" si="0"/>
        <v>40</v>
      </c>
      <c r="F10" s="146"/>
      <c r="G10" s="146">
        <v>8</v>
      </c>
      <c r="H10" s="146">
        <f t="shared" si="5"/>
        <v>48</v>
      </c>
      <c r="I10" s="146">
        <f t="shared" si="6"/>
        <v>209</v>
      </c>
      <c r="J10" s="146" t="s">
        <v>112</v>
      </c>
      <c r="K10" s="147"/>
    </row>
    <row r="11" spans="1:11" ht="24" customHeight="1">
      <c r="A11" s="145" t="s">
        <v>370</v>
      </c>
      <c r="B11" s="124" t="s">
        <v>92</v>
      </c>
      <c r="C11" s="146" t="s">
        <v>93</v>
      </c>
      <c r="D11" s="146" t="s">
        <v>84</v>
      </c>
      <c r="E11" s="146">
        <f t="shared" si="0"/>
        <v>40</v>
      </c>
      <c r="F11" s="146"/>
      <c r="G11" s="146">
        <v>8</v>
      </c>
      <c r="H11" s="146">
        <f t="shared" si="5"/>
        <v>48</v>
      </c>
      <c r="I11" s="146">
        <f t="shared" si="6"/>
        <v>209</v>
      </c>
      <c r="J11" s="146" t="s">
        <v>112</v>
      </c>
      <c r="K11" s="147"/>
    </row>
    <row r="12" spans="1:11" ht="24" customHeight="1">
      <c r="A12" s="145" t="s">
        <v>388</v>
      </c>
      <c r="B12" s="124" t="s">
        <v>92</v>
      </c>
      <c r="C12" s="146" t="s">
        <v>93</v>
      </c>
      <c r="D12" s="146" t="s">
        <v>84</v>
      </c>
      <c r="E12" s="146">
        <f t="shared" si="0"/>
        <v>40</v>
      </c>
      <c r="F12" s="146"/>
      <c r="G12" s="146">
        <v>8</v>
      </c>
      <c r="H12" s="146">
        <f t="shared" si="5"/>
        <v>48</v>
      </c>
      <c r="I12" s="146">
        <f t="shared" si="6"/>
        <v>209</v>
      </c>
      <c r="J12" s="146" t="s">
        <v>112</v>
      </c>
      <c r="K12" s="147"/>
    </row>
    <row r="13" spans="1:11" ht="23.1" customHeight="1">
      <c r="A13" s="223" t="s">
        <v>423</v>
      </c>
      <c r="B13" s="233" t="s">
        <v>460</v>
      </c>
      <c r="C13" s="225" t="s">
        <v>93</v>
      </c>
      <c r="D13" s="125" t="s">
        <v>84</v>
      </c>
      <c r="E13" s="225">
        <f>ROUND((9*7*1)/3,0)</f>
        <v>21</v>
      </c>
      <c r="F13" s="225"/>
      <c r="G13" s="158"/>
      <c r="H13" s="125">
        <f t="shared" ref="H13" si="7">SUM(E13:G13)</f>
        <v>21</v>
      </c>
      <c r="I13" s="125"/>
      <c r="J13" s="232" t="s">
        <v>429</v>
      </c>
      <c r="K13" s="226" t="s">
        <v>430</v>
      </c>
    </row>
    <row r="14" spans="1:11" ht="23.1" customHeight="1">
      <c r="A14" s="223"/>
      <c r="B14" s="234"/>
      <c r="C14" s="225"/>
      <c r="D14" s="146" t="s">
        <v>420</v>
      </c>
      <c r="E14" s="225">
        <f>ROUND((8*7*1)/3,0)</f>
        <v>19</v>
      </c>
      <c r="F14" s="225"/>
      <c r="G14" s="158"/>
      <c r="H14" s="146">
        <f t="shared" ref="H14" si="8">SUM(E14:G14)</f>
        <v>19</v>
      </c>
      <c r="I14" s="146"/>
      <c r="J14" s="232"/>
      <c r="K14" s="227"/>
    </row>
    <row r="15" spans="1:11" ht="23.1" customHeight="1">
      <c r="A15" s="223"/>
      <c r="B15" s="124" t="s">
        <v>428</v>
      </c>
      <c r="C15" s="225"/>
      <c r="D15" s="146"/>
      <c r="E15" s="148"/>
      <c r="F15" s="148"/>
      <c r="G15" s="148"/>
      <c r="H15" s="146">
        <f>SUM(H13:H14)</f>
        <v>40</v>
      </c>
      <c r="I15" s="146">
        <f t="shared" ref="I15:I16" si="9">ROUND((365/7)/12*H15,0)</f>
        <v>174</v>
      </c>
      <c r="J15" s="232"/>
      <c r="K15" s="227"/>
    </row>
    <row r="16" spans="1:11" ht="23.1" customHeight="1">
      <c r="A16" s="223"/>
      <c r="B16" s="124" t="s">
        <v>459</v>
      </c>
      <c r="C16" s="225"/>
      <c r="D16" s="148" t="s">
        <v>84</v>
      </c>
      <c r="E16" s="148">
        <f t="shared" ref="E16" si="10">8*5*1</f>
        <v>40</v>
      </c>
      <c r="F16" s="148"/>
      <c r="G16" s="148">
        <v>8</v>
      </c>
      <c r="H16" s="148">
        <f t="shared" ref="H16" si="11">SUM(E16:G16)</f>
        <v>48</v>
      </c>
      <c r="I16" s="148">
        <f t="shared" si="9"/>
        <v>209</v>
      </c>
      <c r="J16" s="232"/>
      <c r="K16" s="227"/>
    </row>
    <row r="17" spans="1:11" ht="23.1" customHeight="1">
      <c r="A17" s="224"/>
      <c r="B17" s="124" t="s">
        <v>101</v>
      </c>
      <c r="C17" s="225"/>
      <c r="D17" s="125" t="s">
        <v>84</v>
      </c>
      <c r="E17" s="235">
        <f>(6*7*1)/3</f>
        <v>14</v>
      </c>
      <c r="F17" s="236"/>
      <c r="G17" s="157"/>
      <c r="H17" s="125">
        <f t="shared" ref="H17" si="12">SUM(E17:G17)</f>
        <v>14</v>
      </c>
      <c r="I17" s="125">
        <f t="shared" ref="I17" si="13">ROUND((365/7)/12*H17,0)</f>
        <v>61</v>
      </c>
      <c r="J17" s="232"/>
      <c r="K17" s="228"/>
    </row>
    <row r="18" spans="1:11" ht="24.95" customHeight="1">
      <c r="A18" s="2" t="s">
        <v>113</v>
      </c>
      <c r="C18" s="46"/>
    </row>
    <row r="19" spans="1:11" ht="24.95" customHeight="1">
      <c r="C19" s="46"/>
    </row>
  </sheetData>
  <mergeCells count="15">
    <mergeCell ref="A13:A17"/>
    <mergeCell ref="C13:C17"/>
    <mergeCell ref="J13:J17"/>
    <mergeCell ref="K13:K17"/>
    <mergeCell ref="B13:B14"/>
    <mergeCell ref="E14:F14"/>
    <mergeCell ref="E13:F13"/>
    <mergeCell ref="E17:F17"/>
    <mergeCell ref="A1:K1"/>
    <mergeCell ref="A4:B5"/>
    <mergeCell ref="C4:C5"/>
    <mergeCell ref="D4:H4"/>
    <mergeCell ref="I4:I5"/>
    <mergeCell ref="K4:K5"/>
    <mergeCell ref="J4:J5"/>
  </mergeCells>
  <phoneticPr fontId="4" type="noConversion"/>
  <pageMargins left="0.70866141732283472" right="1.0236220472440944" top="0.78740157480314965" bottom="0.59055118110236227" header="0.59055118110236227" footer="0.39370078740157483"/>
  <pageSetup paperSize="9" orientation="landscape" r:id="rId1"/>
</worksheet>
</file>

<file path=xl/worksheets/sheet14.xml><?xml version="1.0" encoding="utf-8"?>
<worksheet xmlns="http://schemas.openxmlformats.org/spreadsheetml/2006/main" xmlns:r="http://schemas.openxmlformats.org/officeDocument/2006/relationships">
  <dimension ref="A1:P20"/>
  <sheetViews>
    <sheetView view="pageBreakPreview" zoomScale="115" zoomScaleNormal="100" zoomScaleSheetLayoutView="115" workbookViewId="0">
      <selection activeCell="I18" sqref="I18"/>
    </sheetView>
  </sheetViews>
  <sheetFormatPr defaultRowHeight="24.95" customHeight="1"/>
  <cols>
    <col min="1" max="1" width="8.625" style="2" customWidth="1"/>
    <col min="2" max="2" width="10.625" style="2" customWidth="1"/>
    <col min="3" max="3" width="7.625" style="2" customWidth="1"/>
    <col min="4" max="4" width="3.625" style="2" customWidth="1"/>
    <col min="5" max="5" width="8.625" style="2" customWidth="1"/>
    <col min="6" max="6" width="7.625" style="2" customWidth="1"/>
    <col min="7" max="7" width="3.625" style="2" customWidth="1"/>
    <col min="8" max="8" width="9" style="2"/>
    <col min="9" max="9" width="7.625" style="2" customWidth="1"/>
    <col min="10" max="10" width="3.625" style="2" customWidth="1"/>
    <col min="11" max="11" width="9" style="2"/>
    <col min="12" max="12" width="7.625" style="2" customWidth="1"/>
    <col min="13" max="13" width="3.625" style="2" customWidth="1"/>
    <col min="14" max="14" width="9" style="2"/>
    <col min="15" max="15" width="7.625" style="2" customWidth="1"/>
    <col min="16" max="16" width="9.125" style="2" customWidth="1"/>
    <col min="17" max="16384" width="9" style="2"/>
  </cols>
  <sheetData>
    <row r="1" spans="1:16" ht="39.950000000000003" customHeight="1">
      <c r="A1" s="165" t="s">
        <v>116</v>
      </c>
      <c r="B1" s="165"/>
      <c r="C1" s="165"/>
      <c r="D1" s="165"/>
      <c r="E1" s="165"/>
      <c r="F1" s="165"/>
      <c r="G1" s="165"/>
      <c r="H1" s="165"/>
      <c r="I1" s="165"/>
      <c r="J1" s="165"/>
      <c r="K1" s="165"/>
      <c r="L1" s="165"/>
      <c r="M1" s="165"/>
      <c r="N1" s="165"/>
      <c r="O1" s="165"/>
      <c r="P1" s="165"/>
    </row>
    <row r="2" spans="1:16" ht="15" customHeight="1"/>
    <row r="3" spans="1:16" ht="24.95" customHeight="1">
      <c r="A3" s="24" t="str">
        <f>원가!A3</f>
        <v>▣ 건   명 : 경기상상캠퍼스 시설관리용역(시설, 미화, 경비)</v>
      </c>
      <c r="B3" s="24"/>
      <c r="C3" s="24"/>
      <c r="D3" s="24"/>
      <c r="E3" s="24"/>
      <c r="F3" s="24"/>
      <c r="G3" s="24"/>
      <c r="H3" s="24"/>
      <c r="I3" s="24"/>
      <c r="P3" s="43" t="s">
        <v>115</v>
      </c>
    </row>
    <row r="4" spans="1:16" ht="15" customHeight="1">
      <c r="A4" s="238" t="s">
        <v>117</v>
      </c>
      <c r="B4" s="238" t="s">
        <v>118</v>
      </c>
      <c r="C4" s="238" t="s">
        <v>119</v>
      </c>
      <c r="D4" s="238"/>
      <c r="E4" s="238"/>
      <c r="F4" s="238" t="s">
        <v>120</v>
      </c>
      <c r="G4" s="238"/>
      <c r="H4" s="238"/>
      <c r="I4" s="238" t="s">
        <v>121</v>
      </c>
      <c r="J4" s="238"/>
      <c r="K4" s="238"/>
      <c r="L4" s="238" t="s">
        <v>122</v>
      </c>
      <c r="M4" s="238"/>
      <c r="N4" s="238"/>
      <c r="O4" s="238" t="s">
        <v>123</v>
      </c>
      <c r="P4" s="238"/>
    </row>
    <row r="5" spans="1:16" ht="24.95" customHeight="1">
      <c r="A5" s="238"/>
      <c r="B5" s="238"/>
      <c r="C5" s="61" t="s">
        <v>124</v>
      </c>
      <c r="D5" s="62" t="s">
        <v>125</v>
      </c>
      <c r="E5" s="62" t="s">
        <v>126</v>
      </c>
      <c r="F5" s="61" t="s">
        <v>124</v>
      </c>
      <c r="G5" s="62" t="s">
        <v>125</v>
      </c>
      <c r="H5" s="62" t="s">
        <v>126</v>
      </c>
      <c r="I5" s="61" t="s">
        <v>124</v>
      </c>
      <c r="J5" s="62" t="s">
        <v>125</v>
      </c>
      <c r="K5" s="62" t="s">
        <v>126</v>
      </c>
      <c r="L5" s="61" t="s">
        <v>124</v>
      </c>
      <c r="M5" s="62" t="s">
        <v>125</v>
      </c>
      <c r="N5" s="62" t="s">
        <v>126</v>
      </c>
      <c r="O5" s="61" t="s">
        <v>124</v>
      </c>
      <c r="P5" s="62" t="s">
        <v>126</v>
      </c>
    </row>
    <row r="6" spans="1:16" s="64" customFormat="1" ht="20.100000000000001" customHeight="1">
      <c r="A6" s="239" t="s">
        <v>438</v>
      </c>
      <c r="B6" s="130" t="s">
        <v>356</v>
      </c>
      <c r="C6" s="95">
        <f>INT(E6/D6)</f>
        <v>2807915</v>
      </c>
      <c r="D6" s="96">
        <v>1</v>
      </c>
      <c r="E6" s="95">
        <f>기본급!E5</f>
        <v>2807915</v>
      </c>
      <c r="F6" s="95">
        <f>INT(H6/G6)</f>
        <v>467985</v>
      </c>
      <c r="G6" s="96">
        <f>D6</f>
        <v>1</v>
      </c>
      <c r="H6" s="95">
        <f>상여금!F5</f>
        <v>467985</v>
      </c>
      <c r="I6" s="95">
        <f>INT(K6/J6)</f>
        <v>156740</v>
      </c>
      <c r="J6" s="96">
        <f>D6</f>
        <v>1</v>
      </c>
      <c r="K6" s="95">
        <f>퇴직금!D6</f>
        <v>156740</v>
      </c>
      <c r="L6" s="95">
        <f>INT(N6/M6)</f>
        <v>286053</v>
      </c>
      <c r="M6" s="96">
        <f>D6</f>
        <v>1</v>
      </c>
      <c r="N6" s="95">
        <f>퇴직금!G6</f>
        <v>286053</v>
      </c>
      <c r="O6" s="95">
        <f>C6+F6+I6+L6</f>
        <v>3718693</v>
      </c>
      <c r="P6" s="95">
        <f>E6+H6+K6+N6</f>
        <v>3718693</v>
      </c>
    </row>
    <row r="7" spans="1:16" s="64" customFormat="1" ht="20.100000000000001" customHeight="1">
      <c r="A7" s="241"/>
      <c r="B7" s="130" t="s">
        <v>358</v>
      </c>
      <c r="C7" s="95">
        <f t="shared" ref="C7:C14" si="0">INT(E7/D7)</f>
        <v>2559205</v>
      </c>
      <c r="D7" s="96">
        <v>1</v>
      </c>
      <c r="E7" s="95">
        <f>기본급!E6</f>
        <v>2559205</v>
      </c>
      <c r="F7" s="95">
        <f t="shared" ref="F7:F9" si="1">INT(H7/G7)</f>
        <v>319900</v>
      </c>
      <c r="G7" s="96">
        <f t="shared" ref="G7:G9" si="2">D7</f>
        <v>1</v>
      </c>
      <c r="H7" s="95">
        <f>상여금!F6</f>
        <v>319900</v>
      </c>
      <c r="I7" s="95">
        <f t="shared" ref="I7:I9" si="3">INT(K7/J7)</f>
        <v>148081</v>
      </c>
      <c r="J7" s="96">
        <f t="shared" ref="J7:J9" si="4">D7</f>
        <v>1</v>
      </c>
      <c r="K7" s="95">
        <f>퇴직금!D7</f>
        <v>148081</v>
      </c>
      <c r="L7" s="95">
        <f t="shared" ref="L7:L9" si="5">INT(N7/M7)</f>
        <v>252265</v>
      </c>
      <c r="M7" s="96">
        <f t="shared" ref="M7:M9" si="6">D7</f>
        <v>1</v>
      </c>
      <c r="N7" s="95">
        <f>퇴직금!G7</f>
        <v>252265</v>
      </c>
      <c r="O7" s="95">
        <f t="shared" ref="O7:O9" si="7">C7+F7+I7+L7</f>
        <v>3279451</v>
      </c>
      <c r="P7" s="95">
        <f t="shared" ref="P7:P9" si="8">E7+H7+K7+N7</f>
        <v>3279451</v>
      </c>
    </row>
    <row r="8" spans="1:16" s="64" customFormat="1" ht="20.100000000000001" customHeight="1">
      <c r="A8" s="241"/>
      <c r="B8" s="130" t="s">
        <v>361</v>
      </c>
      <c r="C8" s="95">
        <f t="shared" si="0"/>
        <v>2559205</v>
      </c>
      <c r="D8" s="96">
        <v>1</v>
      </c>
      <c r="E8" s="95">
        <f>기본급!E7</f>
        <v>2559205</v>
      </c>
      <c r="F8" s="95">
        <f t="shared" si="1"/>
        <v>319900</v>
      </c>
      <c r="G8" s="96">
        <f t="shared" si="2"/>
        <v>1</v>
      </c>
      <c r="H8" s="95">
        <f>상여금!F7</f>
        <v>319900</v>
      </c>
      <c r="I8" s="95">
        <f t="shared" si="3"/>
        <v>148081</v>
      </c>
      <c r="J8" s="96">
        <f t="shared" si="4"/>
        <v>1</v>
      </c>
      <c r="K8" s="95">
        <f>퇴직금!D8</f>
        <v>148081</v>
      </c>
      <c r="L8" s="95">
        <f t="shared" si="5"/>
        <v>252265</v>
      </c>
      <c r="M8" s="96">
        <f t="shared" si="6"/>
        <v>1</v>
      </c>
      <c r="N8" s="95">
        <f>퇴직금!G8</f>
        <v>252265</v>
      </c>
      <c r="O8" s="95">
        <f t="shared" si="7"/>
        <v>3279451</v>
      </c>
      <c r="P8" s="95">
        <f t="shared" si="8"/>
        <v>3279451</v>
      </c>
    </row>
    <row r="9" spans="1:16" s="64" customFormat="1" ht="20.100000000000001" customHeight="1">
      <c r="A9" s="241"/>
      <c r="B9" s="130" t="s">
        <v>363</v>
      </c>
      <c r="C9" s="95">
        <f t="shared" si="0"/>
        <v>2525138</v>
      </c>
      <c r="D9" s="96">
        <v>1</v>
      </c>
      <c r="E9" s="95">
        <f>기본급!E8</f>
        <v>2525138</v>
      </c>
      <c r="F9" s="95">
        <f t="shared" si="1"/>
        <v>210428</v>
      </c>
      <c r="G9" s="96">
        <f t="shared" si="2"/>
        <v>1</v>
      </c>
      <c r="H9" s="95">
        <f>상여금!F8</f>
        <v>210428</v>
      </c>
      <c r="I9" s="95">
        <f t="shared" si="3"/>
        <v>140696</v>
      </c>
      <c r="J9" s="96">
        <f t="shared" si="4"/>
        <v>1</v>
      </c>
      <c r="K9" s="95">
        <f>퇴직금!D9</f>
        <v>140696</v>
      </c>
      <c r="L9" s="95">
        <f t="shared" si="5"/>
        <v>239688</v>
      </c>
      <c r="M9" s="96">
        <f t="shared" si="6"/>
        <v>1</v>
      </c>
      <c r="N9" s="95">
        <f>퇴직금!G9</f>
        <v>239688</v>
      </c>
      <c r="O9" s="95">
        <f t="shared" si="7"/>
        <v>3115950</v>
      </c>
      <c r="P9" s="95">
        <f t="shared" si="8"/>
        <v>3115950</v>
      </c>
    </row>
    <row r="10" spans="1:16" s="64" customFormat="1" ht="20.100000000000001" customHeight="1">
      <c r="A10" s="240"/>
      <c r="B10" s="131" t="s">
        <v>365</v>
      </c>
      <c r="C10" s="98">
        <f t="shared" si="0"/>
        <v>2525138</v>
      </c>
      <c r="D10" s="99">
        <v>1</v>
      </c>
      <c r="E10" s="98">
        <f>기본급!E9</f>
        <v>2525138</v>
      </c>
      <c r="F10" s="98">
        <f t="shared" ref="F10:F14" si="9">INT(H10/G10)</f>
        <v>210428</v>
      </c>
      <c r="G10" s="99">
        <f t="shared" ref="G10:G14" si="10">D10</f>
        <v>1</v>
      </c>
      <c r="H10" s="98">
        <f>상여금!F9</f>
        <v>210428</v>
      </c>
      <c r="I10" s="98">
        <f t="shared" ref="I10:I14" si="11">INT(K10/J10)</f>
        <v>140696</v>
      </c>
      <c r="J10" s="99">
        <f t="shared" ref="J10:J14" si="12">D10</f>
        <v>1</v>
      </c>
      <c r="K10" s="98">
        <f>퇴직금!D10</f>
        <v>140696</v>
      </c>
      <c r="L10" s="98">
        <f t="shared" ref="L10:L14" si="13">INT(N10/M10)</f>
        <v>239688</v>
      </c>
      <c r="M10" s="99">
        <f t="shared" ref="M10:M14" si="14">D10</f>
        <v>1</v>
      </c>
      <c r="N10" s="98">
        <f>퇴직금!G10</f>
        <v>239688</v>
      </c>
      <c r="O10" s="98">
        <f t="shared" ref="O10:O14" si="15">C10+F10+I10+L10</f>
        <v>3115950</v>
      </c>
      <c r="P10" s="98">
        <f t="shared" ref="P10:P14" si="16">E10+H10+K10+N10</f>
        <v>3115950</v>
      </c>
    </row>
    <row r="11" spans="1:16" s="64" customFormat="1" ht="20.100000000000001" customHeight="1">
      <c r="A11" s="239" t="s">
        <v>439</v>
      </c>
      <c r="B11" s="131" t="s">
        <v>370</v>
      </c>
      <c r="C11" s="98">
        <f t="shared" si="0"/>
        <v>1799908</v>
      </c>
      <c r="D11" s="99">
        <v>1</v>
      </c>
      <c r="E11" s="98">
        <f>기본급!E10</f>
        <v>1799908</v>
      </c>
      <c r="F11" s="98">
        <f t="shared" si="9"/>
        <v>299984</v>
      </c>
      <c r="G11" s="99">
        <f t="shared" si="10"/>
        <v>1</v>
      </c>
      <c r="H11" s="98">
        <f>상여금!F10</f>
        <v>299984</v>
      </c>
      <c r="I11" s="98">
        <f t="shared" si="11"/>
        <v>100470</v>
      </c>
      <c r="J11" s="99">
        <f t="shared" si="12"/>
        <v>1</v>
      </c>
      <c r="K11" s="98">
        <f>퇴직금!D11</f>
        <v>100470</v>
      </c>
      <c r="L11" s="98">
        <f t="shared" si="13"/>
        <v>183363</v>
      </c>
      <c r="M11" s="99">
        <f t="shared" si="14"/>
        <v>1</v>
      </c>
      <c r="N11" s="98">
        <f>퇴직금!G11</f>
        <v>183363</v>
      </c>
      <c r="O11" s="98">
        <f t="shared" si="15"/>
        <v>2383725</v>
      </c>
      <c r="P11" s="98">
        <f t="shared" si="16"/>
        <v>2383725</v>
      </c>
    </row>
    <row r="12" spans="1:16" s="64" customFormat="1" ht="20.100000000000001" customHeight="1">
      <c r="A12" s="240"/>
      <c r="B12" s="131" t="s">
        <v>388</v>
      </c>
      <c r="C12" s="98">
        <f t="shared" si="0"/>
        <v>1799908</v>
      </c>
      <c r="D12" s="99">
        <v>4</v>
      </c>
      <c r="E12" s="98">
        <f>기본급!E11</f>
        <v>7199632</v>
      </c>
      <c r="F12" s="98">
        <f t="shared" si="9"/>
        <v>224988</v>
      </c>
      <c r="G12" s="99">
        <f t="shared" si="10"/>
        <v>4</v>
      </c>
      <c r="H12" s="98">
        <f>상여금!F11</f>
        <v>899954</v>
      </c>
      <c r="I12" s="98">
        <f t="shared" si="11"/>
        <v>138868</v>
      </c>
      <c r="J12" s="99">
        <f t="shared" si="12"/>
        <v>4</v>
      </c>
      <c r="K12" s="98">
        <f>퇴직금!D12</f>
        <v>555474</v>
      </c>
      <c r="L12" s="98">
        <f t="shared" si="13"/>
        <v>180313</v>
      </c>
      <c r="M12" s="99">
        <f t="shared" si="14"/>
        <v>4</v>
      </c>
      <c r="N12" s="98">
        <f>퇴직금!G12</f>
        <v>721255</v>
      </c>
      <c r="O12" s="98">
        <f t="shared" si="15"/>
        <v>2344077</v>
      </c>
      <c r="P12" s="98">
        <f t="shared" si="16"/>
        <v>9376315</v>
      </c>
    </row>
    <row r="13" spans="1:16" s="64" customFormat="1" ht="20.100000000000001" customHeight="1">
      <c r="A13" s="239" t="s">
        <v>440</v>
      </c>
      <c r="B13" s="131" t="s">
        <v>431</v>
      </c>
      <c r="C13" s="98">
        <f t="shared" si="0"/>
        <v>1799908</v>
      </c>
      <c r="D13" s="99">
        <v>1</v>
      </c>
      <c r="E13" s="98">
        <f>기본급!E12</f>
        <v>1799908</v>
      </c>
      <c r="F13" s="98">
        <f t="shared" si="9"/>
        <v>299984</v>
      </c>
      <c r="G13" s="99">
        <f t="shared" si="10"/>
        <v>1</v>
      </c>
      <c r="H13" s="98">
        <f>상여금!F12</f>
        <v>299984</v>
      </c>
      <c r="I13" s="98">
        <f t="shared" si="11"/>
        <v>414031</v>
      </c>
      <c r="J13" s="99">
        <f t="shared" si="12"/>
        <v>1</v>
      </c>
      <c r="K13" s="98">
        <f>퇴직금!D13</f>
        <v>414031</v>
      </c>
      <c r="L13" s="98">
        <f t="shared" si="13"/>
        <v>209493</v>
      </c>
      <c r="M13" s="99">
        <f t="shared" si="14"/>
        <v>1</v>
      </c>
      <c r="N13" s="98">
        <f>퇴직금!G13</f>
        <v>209493</v>
      </c>
      <c r="O13" s="98">
        <f t="shared" si="15"/>
        <v>2723416</v>
      </c>
      <c r="P13" s="98">
        <f t="shared" si="16"/>
        <v>2723416</v>
      </c>
    </row>
    <row r="14" spans="1:16" s="64" customFormat="1" ht="20.100000000000001" customHeight="1">
      <c r="A14" s="240"/>
      <c r="B14" s="131" t="s">
        <v>432</v>
      </c>
      <c r="C14" s="98">
        <f t="shared" si="0"/>
        <v>1799908</v>
      </c>
      <c r="D14" s="99">
        <v>2</v>
      </c>
      <c r="E14" s="98">
        <f>기본급!E13</f>
        <v>3599816</v>
      </c>
      <c r="F14" s="98">
        <f t="shared" si="9"/>
        <v>74996</v>
      </c>
      <c r="G14" s="99">
        <f t="shared" si="10"/>
        <v>2</v>
      </c>
      <c r="H14" s="98">
        <f>상여금!F13</f>
        <v>149992</v>
      </c>
      <c r="I14" s="98">
        <f t="shared" si="11"/>
        <v>384440</v>
      </c>
      <c r="J14" s="99">
        <f t="shared" si="12"/>
        <v>2</v>
      </c>
      <c r="K14" s="98">
        <f>퇴직금!D14</f>
        <v>768881</v>
      </c>
      <c r="L14" s="98">
        <f t="shared" si="13"/>
        <v>188278</v>
      </c>
      <c r="M14" s="99">
        <f t="shared" si="14"/>
        <v>2</v>
      </c>
      <c r="N14" s="98">
        <f>퇴직금!G14</f>
        <v>376557</v>
      </c>
      <c r="O14" s="98">
        <f t="shared" si="15"/>
        <v>2447622</v>
      </c>
      <c r="P14" s="98">
        <f t="shared" si="16"/>
        <v>4895246</v>
      </c>
    </row>
    <row r="15" spans="1:16" s="64" customFormat="1" ht="20.100000000000001" customHeight="1" thickBot="1">
      <c r="A15" s="97"/>
      <c r="B15" s="131"/>
      <c r="C15" s="98"/>
      <c r="D15" s="99"/>
      <c r="E15" s="98"/>
      <c r="F15" s="98"/>
      <c r="G15" s="99"/>
      <c r="H15" s="98"/>
      <c r="I15" s="98"/>
      <c r="J15" s="99"/>
      <c r="K15" s="98"/>
      <c r="L15" s="98"/>
      <c r="M15" s="99"/>
      <c r="N15" s="98"/>
      <c r="O15" s="98"/>
      <c r="P15" s="98"/>
    </row>
    <row r="16" spans="1:16" s="64" customFormat="1" ht="20.100000000000001" customHeight="1" thickTop="1">
      <c r="A16" s="237" t="s">
        <v>26</v>
      </c>
      <c r="B16" s="237"/>
      <c r="C16" s="100"/>
      <c r="D16" s="101">
        <f>SUM(D6:D15)</f>
        <v>13</v>
      </c>
      <c r="E16" s="100">
        <f>SUM(E6:E15)</f>
        <v>27375865</v>
      </c>
      <c r="F16" s="100"/>
      <c r="G16" s="101">
        <f>SUM(G6:G15)</f>
        <v>13</v>
      </c>
      <c r="H16" s="100">
        <f>SUM(H6:H15)</f>
        <v>3178555</v>
      </c>
      <c r="I16" s="100"/>
      <c r="J16" s="101">
        <f>SUM(J6:J15)</f>
        <v>13</v>
      </c>
      <c r="K16" s="100">
        <f>SUM(K6:K15)</f>
        <v>2573150</v>
      </c>
      <c r="L16" s="100"/>
      <c r="M16" s="101">
        <f>SUM(M6:M15)</f>
        <v>13</v>
      </c>
      <c r="N16" s="100">
        <f>SUM(N6:N15)</f>
        <v>2760627</v>
      </c>
      <c r="O16" s="100"/>
      <c r="P16" s="100">
        <f>SUM(P6:P15)</f>
        <v>35888197</v>
      </c>
    </row>
    <row r="17" spans="1:1" ht="24.95" customHeight="1">
      <c r="A17" s="2" t="s">
        <v>135</v>
      </c>
    </row>
    <row r="18" spans="1:1" ht="24.95" customHeight="1">
      <c r="A18" s="2" t="s">
        <v>136</v>
      </c>
    </row>
    <row r="19" spans="1:1" ht="24.95" customHeight="1">
      <c r="A19" s="2" t="s">
        <v>137</v>
      </c>
    </row>
    <row r="20" spans="1:1" ht="24.95" customHeight="1">
      <c r="A20" s="2" t="s">
        <v>138</v>
      </c>
    </row>
  </sheetData>
  <mergeCells count="12">
    <mergeCell ref="A16:B16"/>
    <mergeCell ref="A1:P1"/>
    <mergeCell ref="A4:A5"/>
    <mergeCell ref="B4:B5"/>
    <mergeCell ref="C4:E4"/>
    <mergeCell ref="F4:H4"/>
    <mergeCell ref="I4:K4"/>
    <mergeCell ref="L4:N4"/>
    <mergeCell ref="O4:P4"/>
    <mergeCell ref="A13:A14"/>
    <mergeCell ref="A11:A12"/>
    <mergeCell ref="A6:A10"/>
  </mergeCells>
  <phoneticPr fontId="4" type="noConversion"/>
  <pageMargins left="0.70866141732283472" right="1.0236220472440944" top="0.78740157480314965" bottom="0.59055118110236227" header="0.59055118110236227" footer="0.39370078740157483"/>
  <pageSetup paperSize="9" orientation="landscape" r:id="rId1"/>
</worksheet>
</file>

<file path=xl/worksheets/sheet15.xml><?xml version="1.0" encoding="utf-8"?>
<worksheet xmlns="http://schemas.openxmlformats.org/spreadsheetml/2006/main" xmlns:r="http://schemas.openxmlformats.org/officeDocument/2006/relationships">
  <dimension ref="A1:F18"/>
  <sheetViews>
    <sheetView view="pageBreakPreview" zoomScaleNormal="100" zoomScaleSheetLayoutView="100" workbookViewId="0">
      <selection activeCell="I18" sqref="I18"/>
    </sheetView>
  </sheetViews>
  <sheetFormatPr defaultRowHeight="24.95" customHeight="1"/>
  <cols>
    <col min="1" max="1" width="15.625" style="2" customWidth="1"/>
    <col min="2" max="3" width="14.625" style="2" customWidth="1"/>
    <col min="4" max="4" width="8.625" style="2" customWidth="1"/>
    <col min="5" max="6" width="14.625" style="2" customWidth="1"/>
    <col min="7" max="7" width="9" style="2"/>
    <col min="8" max="8" width="10.625" style="2" customWidth="1"/>
    <col min="9" max="9" width="9" style="2" customWidth="1"/>
    <col min="10" max="16384" width="9" style="2"/>
  </cols>
  <sheetData>
    <row r="1" spans="1:6" ht="39.950000000000003" customHeight="1">
      <c r="A1" s="165" t="s">
        <v>128</v>
      </c>
      <c r="B1" s="165"/>
      <c r="C1" s="165"/>
      <c r="D1" s="165"/>
      <c r="E1" s="165"/>
      <c r="F1" s="165"/>
    </row>
    <row r="2" spans="1:6" ht="15" customHeight="1"/>
    <row r="3" spans="1:6" ht="24.95" customHeight="1">
      <c r="A3" s="24" t="str">
        <f>원가!A3</f>
        <v>▣ 건   명 : 경기상상캠퍼스 시설관리용역(시설, 미화, 경비)</v>
      </c>
      <c r="F3" s="43" t="s">
        <v>127</v>
      </c>
    </row>
    <row r="4" spans="1:6" ht="30" customHeight="1">
      <c r="A4" s="44" t="s">
        <v>129</v>
      </c>
      <c r="B4" s="44" t="s">
        <v>130</v>
      </c>
      <c r="C4" s="44" t="s">
        <v>131</v>
      </c>
      <c r="D4" s="44" t="s">
        <v>132</v>
      </c>
      <c r="E4" s="44" t="s">
        <v>133</v>
      </c>
      <c r="F4" s="44" t="s">
        <v>134</v>
      </c>
    </row>
    <row r="5" spans="1:6" ht="24.95" customHeight="1">
      <c r="A5" s="127" t="str">
        <f>인집!B6</f>
        <v>시설반장</v>
      </c>
      <c r="B5" s="79">
        <f t="shared" ref="B5:B8" si="0">VLOOKUP(A5,노임,3,0)</f>
        <v>13435</v>
      </c>
      <c r="C5" s="80">
        <f>근로시간!I6</f>
        <v>209</v>
      </c>
      <c r="D5" s="81">
        <f>인집!D6</f>
        <v>1</v>
      </c>
      <c r="E5" s="79">
        <f t="shared" ref="E5:E8" si="1">INT(B5*C5*D5)</f>
        <v>2807915</v>
      </c>
      <c r="F5" s="89"/>
    </row>
    <row r="6" spans="1:6" ht="24.95" customHeight="1">
      <c r="A6" s="127" t="str">
        <f>인집!B7</f>
        <v>기계담당</v>
      </c>
      <c r="B6" s="79">
        <f t="shared" si="0"/>
        <v>12245</v>
      </c>
      <c r="C6" s="80">
        <f>근로시간!I7</f>
        <v>209</v>
      </c>
      <c r="D6" s="81">
        <f>인집!D7</f>
        <v>1</v>
      </c>
      <c r="E6" s="79">
        <f t="shared" si="1"/>
        <v>2559205</v>
      </c>
      <c r="F6" s="89"/>
    </row>
    <row r="7" spans="1:6" ht="24.95" customHeight="1">
      <c r="A7" s="127" t="str">
        <f>인집!B8</f>
        <v>전기담당</v>
      </c>
      <c r="B7" s="79">
        <f t="shared" si="0"/>
        <v>12245</v>
      </c>
      <c r="C7" s="80">
        <f>근로시간!I8</f>
        <v>209</v>
      </c>
      <c r="D7" s="81">
        <f>인집!D8</f>
        <v>1</v>
      </c>
      <c r="E7" s="79">
        <f t="shared" si="1"/>
        <v>2559205</v>
      </c>
      <c r="F7" s="89"/>
    </row>
    <row r="8" spans="1:6" ht="24.95" customHeight="1">
      <c r="A8" s="127" t="str">
        <f>인집!B9</f>
        <v>영선담당</v>
      </c>
      <c r="B8" s="79">
        <f t="shared" si="0"/>
        <v>12082</v>
      </c>
      <c r="C8" s="80">
        <f>근로시간!I9</f>
        <v>209</v>
      </c>
      <c r="D8" s="81">
        <f>인집!D9</f>
        <v>1</v>
      </c>
      <c r="E8" s="79">
        <f t="shared" si="1"/>
        <v>2525138</v>
      </c>
      <c r="F8" s="89"/>
    </row>
    <row r="9" spans="1:6" ht="24.95" customHeight="1">
      <c r="A9" s="127" t="str">
        <f>인집!B10</f>
        <v>조경담당</v>
      </c>
      <c r="B9" s="79">
        <f t="shared" ref="B9:B13" si="2">VLOOKUP(A9,노임,3,0)</f>
        <v>12082</v>
      </c>
      <c r="C9" s="80">
        <f>근로시간!I10</f>
        <v>209</v>
      </c>
      <c r="D9" s="81">
        <f>인집!D10</f>
        <v>1</v>
      </c>
      <c r="E9" s="79">
        <f t="shared" ref="E9:E13" si="3">INT(B9*C9*D9)</f>
        <v>2525138</v>
      </c>
      <c r="F9" s="89"/>
    </row>
    <row r="10" spans="1:6" ht="24.95" customHeight="1">
      <c r="A10" s="127" t="str">
        <f>인집!B11</f>
        <v>미화반장</v>
      </c>
      <c r="B10" s="79">
        <f t="shared" si="2"/>
        <v>8612</v>
      </c>
      <c r="C10" s="80">
        <f>근로시간!I11</f>
        <v>209</v>
      </c>
      <c r="D10" s="81">
        <f>인집!D11</f>
        <v>1</v>
      </c>
      <c r="E10" s="79">
        <f t="shared" si="3"/>
        <v>1799908</v>
      </c>
      <c r="F10" s="89"/>
    </row>
    <row r="11" spans="1:6" ht="24.95" customHeight="1">
      <c r="A11" s="127" t="str">
        <f>인집!B12</f>
        <v>미화원(남·여)</v>
      </c>
      <c r="B11" s="79">
        <f t="shared" si="2"/>
        <v>8612</v>
      </c>
      <c r="C11" s="80">
        <f>근로시간!I12</f>
        <v>209</v>
      </c>
      <c r="D11" s="81">
        <f>인집!D12</f>
        <v>4</v>
      </c>
      <c r="E11" s="79">
        <f t="shared" si="3"/>
        <v>7199632</v>
      </c>
      <c r="F11" s="89"/>
    </row>
    <row r="12" spans="1:6" ht="24.95" customHeight="1">
      <c r="A12" s="127" t="str">
        <f>인집!B13</f>
        <v>경비반장</v>
      </c>
      <c r="B12" s="79">
        <f t="shared" si="2"/>
        <v>8612</v>
      </c>
      <c r="C12" s="80">
        <f>근로시간!I16</f>
        <v>209</v>
      </c>
      <c r="D12" s="81">
        <f>인집!D13</f>
        <v>1</v>
      </c>
      <c r="E12" s="79">
        <f t="shared" si="3"/>
        <v>1799908</v>
      </c>
      <c r="F12" s="89"/>
    </row>
    <row r="13" spans="1:6" ht="24.95" customHeight="1">
      <c r="A13" s="127" t="str">
        <f>인집!B14</f>
        <v>경비원</v>
      </c>
      <c r="B13" s="79">
        <f t="shared" si="2"/>
        <v>8612</v>
      </c>
      <c r="C13" s="80">
        <f>근로시간!I16</f>
        <v>209</v>
      </c>
      <c r="D13" s="81">
        <f>인집!D14</f>
        <v>2</v>
      </c>
      <c r="E13" s="79">
        <f t="shared" si="3"/>
        <v>3599816</v>
      </c>
      <c r="F13" s="89"/>
    </row>
    <row r="14" spans="1:6" ht="24.95" customHeight="1" thickBot="1">
      <c r="A14" s="128"/>
      <c r="B14" s="83"/>
      <c r="C14" s="84"/>
      <c r="D14" s="85"/>
      <c r="E14" s="83"/>
      <c r="F14" s="90"/>
    </row>
    <row r="15" spans="1:6" ht="24.95" customHeight="1" thickTop="1">
      <c r="A15" s="73" t="s">
        <v>139</v>
      </c>
      <c r="B15" s="86"/>
      <c r="C15" s="87"/>
      <c r="D15" s="88">
        <f>SUM(D5:D14)</f>
        <v>13</v>
      </c>
      <c r="E15" s="86">
        <f>SUM(E5:E14)</f>
        <v>27375865</v>
      </c>
      <c r="F15" s="91"/>
    </row>
    <row r="16" spans="1:6" ht="24.95" customHeight="1">
      <c r="A16" s="2" t="s">
        <v>186</v>
      </c>
    </row>
    <row r="17" spans="1:1" ht="24.95" customHeight="1">
      <c r="A17" s="2" t="s">
        <v>140</v>
      </c>
    </row>
    <row r="18" spans="1:1" ht="24.95" customHeight="1">
      <c r="A18" s="2" t="s">
        <v>187</v>
      </c>
    </row>
  </sheetData>
  <mergeCells count="1">
    <mergeCell ref="A1:F1"/>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16.xml><?xml version="1.0" encoding="utf-8"?>
<worksheet xmlns="http://schemas.openxmlformats.org/spreadsheetml/2006/main" xmlns:r="http://schemas.openxmlformats.org/officeDocument/2006/relationships">
  <dimension ref="A1:F18"/>
  <sheetViews>
    <sheetView view="pageBreakPreview" zoomScaleNormal="100" zoomScaleSheetLayoutView="100" workbookViewId="0">
      <selection activeCell="I18" sqref="I18"/>
    </sheetView>
  </sheetViews>
  <sheetFormatPr defaultRowHeight="24.95" customHeight="1"/>
  <cols>
    <col min="1" max="1" width="15.625" style="2" customWidth="1"/>
    <col min="2" max="3" width="14.625" style="2" customWidth="1"/>
    <col min="4" max="4" width="8.625" style="2" customWidth="1"/>
    <col min="5" max="6" width="14.625" style="2" customWidth="1"/>
    <col min="7" max="7" width="9" style="2"/>
    <col min="8" max="8" width="10.625" style="2" customWidth="1"/>
    <col min="9" max="9" width="9" style="2" customWidth="1"/>
    <col min="10" max="16384" width="9" style="2"/>
  </cols>
  <sheetData>
    <row r="1" spans="1:6" ht="39.950000000000003" customHeight="1">
      <c r="A1" s="165" t="s">
        <v>141</v>
      </c>
      <c r="B1" s="165"/>
      <c r="C1" s="165"/>
      <c r="D1" s="165"/>
      <c r="E1" s="165"/>
      <c r="F1" s="165"/>
    </row>
    <row r="2" spans="1:6" ht="15" customHeight="1"/>
    <row r="3" spans="1:6" ht="24.95" customHeight="1">
      <c r="A3" s="24" t="str">
        <f>원가!A3</f>
        <v>▣ 건   명 : 경기상상캠퍼스 시설관리용역(시설, 미화, 경비)</v>
      </c>
      <c r="F3" s="43" t="s">
        <v>142</v>
      </c>
    </row>
    <row r="4" spans="1:6" ht="30" customHeight="1">
      <c r="A4" s="44" t="s">
        <v>129</v>
      </c>
      <c r="B4" s="44" t="s">
        <v>133</v>
      </c>
      <c r="C4" s="44" t="s">
        <v>143</v>
      </c>
      <c r="D4" s="44" t="s">
        <v>132</v>
      </c>
      <c r="E4" s="44" t="s">
        <v>144</v>
      </c>
      <c r="F4" s="44" t="s">
        <v>145</v>
      </c>
    </row>
    <row r="5" spans="1:6" ht="24.95" customHeight="1">
      <c r="A5" s="127" t="str">
        <f>인집!B6</f>
        <v>시설반장</v>
      </c>
      <c r="B5" s="79">
        <f>INT(기본급!E5/D5)</f>
        <v>2807915</v>
      </c>
      <c r="C5" s="82">
        <v>2</v>
      </c>
      <c r="D5" s="81">
        <f>인집!D6</f>
        <v>1</v>
      </c>
      <c r="E5" s="79">
        <f>TRUNC(B5*C5*D5)</f>
        <v>5615830</v>
      </c>
      <c r="F5" s="79">
        <f>INT(E5/12)</f>
        <v>467985</v>
      </c>
    </row>
    <row r="6" spans="1:6" ht="24.95" customHeight="1">
      <c r="A6" s="127" t="str">
        <f>인집!B7</f>
        <v>기계담당</v>
      </c>
      <c r="B6" s="79">
        <f>INT(기본급!E6/D6)</f>
        <v>2559205</v>
      </c>
      <c r="C6" s="82">
        <v>1.5</v>
      </c>
      <c r="D6" s="81">
        <f>인집!D7</f>
        <v>1</v>
      </c>
      <c r="E6" s="79">
        <f t="shared" ref="E6:E8" si="0">TRUNC(B6*C6*D6)</f>
        <v>3838807</v>
      </c>
      <c r="F6" s="79">
        <f t="shared" ref="F6:F8" si="1">INT(E6/12)</f>
        <v>319900</v>
      </c>
    </row>
    <row r="7" spans="1:6" ht="24.95" customHeight="1">
      <c r="A7" s="127" t="str">
        <f>인집!B8</f>
        <v>전기담당</v>
      </c>
      <c r="B7" s="79">
        <f>INT(기본급!E7/D7)</f>
        <v>2559205</v>
      </c>
      <c r="C7" s="82">
        <v>1.5</v>
      </c>
      <c r="D7" s="81">
        <f>인집!D8</f>
        <v>1</v>
      </c>
      <c r="E7" s="79">
        <f t="shared" si="0"/>
        <v>3838807</v>
      </c>
      <c r="F7" s="79">
        <f t="shared" si="1"/>
        <v>319900</v>
      </c>
    </row>
    <row r="8" spans="1:6" ht="24.95" customHeight="1">
      <c r="A8" s="127" t="str">
        <f>인집!B9</f>
        <v>영선담당</v>
      </c>
      <c r="B8" s="79">
        <f>INT(기본급!E8/D8)</f>
        <v>2525138</v>
      </c>
      <c r="C8" s="82">
        <v>1</v>
      </c>
      <c r="D8" s="81">
        <f>인집!D9</f>
        <v>1</v>
      </c>
      <c r="E8" s="79">
        <f t="shared" si="0"/>
        <v>2525138</v>
      </c>
      <c r="F8" s="79">
        <f t="shared" si="1"/>
        <v>210428</v>
      </c>
    </row>
    <row r="9" spans="1:6" ht="24.95" customHeight="1">
      <c r="A9" s="127" t="str">
        <f>인집!B10</f>
        <v>조경담당</v>
      </c>
      <c r="B9" s="79">
        <f>INT(기본급!E9/D9)</f>
        <v>2525138</v>
      </c>
      <c r="C9" s="82">
        <v>1</v>
      </c>
      <c r="D9" s="81">
        <f>인집!D10</f>
        <v>1</v>
      </c>
      <c r="E9" s="79">
        <f t="shared" ref="E9:E13" si="2">TRUNC(B9*C9*D9)</f>
        <v>2525138</v>
      </c>
      <c r="F9" s="79">
        <f t="shared" ref="F9:F13" si="3">INT(E9/12)</f>
        <v>210428</v>
      </c>
    </row>
    <row r="10" spans="1:6" ht="24.95" customHeight="1">
      <c r="A10" s="127" t="str">
        <f>인집!B11</f>
        <v>미화반장</v>
      </c>
      <c r="B10" s="79">
        <f>INT(기본급!E10/D10)</f>
        <v>1799908</v>
      </c>
      <c r="C10" s="82">
        <v>2</v>
      </c>
      <c r="D10" s="81">
        <f>인집!D11</f>
        <v>1</v>
      </c>
      <c r="E10" s="79">
        <f t="shared" si="2"/>
        <v>3599816</v>
      </c>
      <c r="F10" s="79">
        <f t="shared" si="3"/>
        <v>299984</v>
      </c>
    </row>
    <row r="11" spans="1:6" ht="24.95" customHeight="1">
      <c r="A11" s="127" t="str">
        <f>인집!B12</f>
        <v>미화원(남·여)</v>
      </c>
      <c r="B11" s="79">
        <f>INT(기본급!E11/D11)</f>
        <v>1799908</v>
      </c>
      <c r="C11" s="82">
        <v>1.5</v>
      </c>
      <c r="D11" s="81">
        <f>인집!D12</f>
        <v>4</v>
      </c>
      <c r="E11" s="79">
        <f t="shared" si="2"/>
        <v>10799448</v>
      </c>
      <c r="F11" s="79">
        <f t="shared" si="3"/>
        <v>899954</v>
      </c>
    </row>
    <row r="12" spans="1:6" ht="24.95" customHeight="1">
      <c r="A12" s="127" t="str">
        <f>인집!B13</f>
        <v>경비반장</v>
      </c>
      <c r="B12" s="79">
        <f>INT(기본급!E12/D12)</f>
        <v>1799908</v>
      </c>
      <c r="C12" s="82">
        <v>2</v>
      </c>
      <c r="D12" s="81">
        <f>인집!D13</f>
        <v>1</v>
      </c>
      <c r="E12" s="79">
        <f t="shared" si="2"/>
        <v>3599816</v>
      </c>
      <c r="F12" s="79">
        <f t="shared" si="3"/>
        <v>299984</v>
      </c>
    </row>
    <row r="13" spans="1:6" ht="24.95" customHeight="1">
      <c r="A13" s="127" t="str">
        <f>인집!B14</f>
        <v>경비원</v>
      </c>
      <c r="B13" s="79">
        <f>INT(기본급!E13/D13)</f>
        <v>1799908</v>
      </c>
      <c r="C13" s="82">
        <v>0.5</v>
      </c>
      <c r="D13" s="81">
        <f>인집!D14</f>
        <v>2</v>
      </c>
      <c r="E13" s="79">
        <f t="shared" si="2"/>
        <v>1799908</v>
      </c>
      <c r="F13" s="79">
        <f t="shared" si="3"/>
        <v>149992</v>
      </c>
    </row>
    <row r="14" spans="1:6" ht="24.95" customHeight="1" thickBot="1">
      <c r="A14" s="128"/>
      <c r="B14" s="83"/>
      <c r="C14" s="84"/>
      <c r="D14" s="85"/>
      <c r="E14" s="83"/>
      <c r="F14" s="83"/>
    </row>
    <row r="15" spans="1:6" ht="24.95" customHeight="1" thickTop="1">
      <c r="A15" s="73" t="s">
        <v>139</v>
      </c>
      <c r="B15" s="86"/>
      <c r="C15" s="87"/>
      <c r="D15" s="88">
        <f>SUM(D5:D14)</f>
        <v>13</v>
      </c>
      <c r="E15" s="86"/>
      <c r="F15" s="86">
        <f>SUM(F5:F14)</f>
        <v>3178555</v>
      </c>
    </row>
    <row r="16" spans="1:6" ht="24.95" customHeight="1">
      <c r="A16" s="2" t="s">
        <v>184</v>
      </c>
    </row>
    <row r="17" spans="1:1" ht="24.95" customHeight="1">
      <c r="A17" s="2" t="s">
        <v>183</v>
      </c>
    </row>
    <row r="18" spans="1:1" ht="24.95" customHeight="1">
      <c r="A18" s="2" t="s">
        <v>185</v>
      </c>
    </row>
  </sheetData>
  <mergeCells count="1">
    <mergeCell ref="A1:F1"/>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17.xml><?xml version="1.0" encoding="utf-8"?>
<worksheet xmlns="http://schemas.openxmlformats.org/spreadsheetml/2006/main" xmlns:r="http://schemas.openxmlformats.org/officeDocument/2006/relationships">
  <dimension ref="A1:I65"/>
  <sheetViews>
    <sheetView view="pageBreakPreview" topLeftCell="A39" zoomScaleNormal="100" zoomScaleSheetLayoutView="100" workbookViewId="0">
      <selection activeCell="I18" sqref="I18"/>
    </sheetView>
  </sheetViews>
  <sheetFormatPr defaultRowHeight="24.95" customHeight="1"/>
  <cols>
    <col min="1" max="2" width="15.625" style="2" customWidth="1"/>
    <col min="3" max="3" width="11.625" style="2" customWidth="1"/>
    <col min="4" max="5" width="8.125" style="2" customWidth="1"/>
    <col min="6" max="6" width="12.125" style="2" customWidth="1"/>
    <col min="7" max="7" width="11.625" style="2" customWidth="1"/>
    <col min="8" max="8" width="9" style="2"/>
    <col min="9" max="9" width="10.625" style="2" customWidth="1"/>
    <col min="10" max="10" width="9" style="2" customWidth="1"/>
    <col min="11" max="16384" width="9" style="2"/>
  </cols>
  <sheetData>
    <row r="1" spans="1:7" ht="39.950000000000003" customHeight="1">
      <c r="A1" s="165" t="s">
        <v>146</v>
      </c>
      <c r="B1" s="165"/>
      <c r="C1" s="165"/>
      <c r="D1" s="165"/>
      <c r="E1" s="165"/>
      <c r="F1" s="165"/>
      <c r="G1" s="165"/>
    </row>
    <row r="2" spans="1:7" ht="15" customHeight="1"/>
    <row r="3" spans="1:7" ht="24.95" customHeight="1">
      <c r="A3" s="24" t="str">
        <f>원가!A3</f>
        <v>▣ 건   명 : 경기상상캠퍼스 시설관리용역(시설, 미화, 경비)</v>
      </c>
      <c r="B3" s="24"/>
      <c r="G3" s="43" t="s">
        <v>147</v>
      </c>
    </row>
    <row r="4" spans="1:7" ht="30" customHeight="1">
      <c r="A4" s="156" t="s">
        <v>129</v>
      </c>
      <c r="B4" s="156" t="s">
        <v>470</v>
      </c>
      <c r="C4" s="44" t="s">
        <v>149</v>
      </c>
      <c r="D4" s="44" t="s">
        <v>207</v>
      </c>
      <c r="E4" s="44" t="s">
        <v>132</v>
      </c>
      <c r="F4" s="44" t="s">
        <v>152</v>
      </c>
      <c r="G4" s="44" t="s">
        <v>153</v>
      </c>
    </row>
    <row r="5" spans="1:7" ht="24.95" customHeight="1">
      <c r="A5" s="242" t="str">
        <f>인집!B6</f>
        <v>시설반장</v>
      </c>
      <c r="B5" s="68" t="s">
        <v>208</v>
      </c>
      <c r="C5" s="79">
        <f>통상임금!H5</f>
        <v>125392</v>
      </c>
      <c r="D5" s="93">
        <v>15</v>
      </c>
      <c r="E5" s="81">
        <f>인집!D6</f>
        <v>1</v>
      </c>
      <c r="F5" s="79">
        <f>INT(C5*D5*E5)</f>
        <v>1880880</v>
      </c>
      <c r="G5" s="79">
        <f>INT(F5/12)</f>
        <v>156740</v>
      </c>
    </row>
    <row r="6" spans="1:7" ht="24.95" customHeight="1">
      <c r="A6" s="243"/>
      <c r="B6" s="68" t="s">
        <v>210</v>
      </c>
      <c r="C6" s="79"/>
      <c r="D6" s="120"/>
      <c r="E6" s="81"/>
      <c r="F6" s="79">
        <f>INT(C6*D6*E6)</f>
        <v>0</v>
      </c>
      <c r="G6" s="79">
        <f>INT(F6/12)</f>
        <v>0</v>
      </c>
    </row>
    <row r="7" spans="1:7" ht="24.95" hidden="1" customHeight="1">
      <c r="A7" s="243"/>
      <c r="B7" s="68" t="s">
        <v>211</v>
      </c>
      <c r="C7" s="79"/>
      <c r="D7" s="94"/>
      <c r="E7" s="81"/>
      <c r="F7" s="79"/>
      <c r="G7" s="79">
        <f>INT(C7*D7*E7)</f>
        <v>0</v>
      </c>
    </row>
    <row r="8" spans="1:7" ht="24.95" hidden="1" customHeight="1">
      <c r="A8" s="243"/>
      <c r="B8" s="68" t="s">
        <v>212</v>
      </c>
      <c r="C8" s="79"/>
      <c r="D8" s="94"/>
      <c r="E8" s="81"/>
      <c r="F8" s="79"/>
      <c r="G8" s="79">
        <f>INT(C8*D8*E8)</f>
        <v>0</v>
      </c>
    </row>
    <row r="9" spans="1:7" ht="24.95" customHeight="1">
      <c r="A9" s="244"/>
      <c r="B9" s="152" t="s">
        <v>209</v>
      </c>
      <c r="C9" s="153"/>
      <c r="D9" s="154"/>
      <c r="E9" s="155"/>
      <c r="F9" s="153"/>
      <c r="G9" s="153">
        <f>SUM(G5:G8)</f>
        <v>156740</v>
      </c>
    </row>
    <row r="10" spans="1:7" ht="24.95" customHeight="1">
      <c r="A10" s="242" t="str">
        <f>인집!B7</f>
        <v>기계담당</v>
      </c>
      <c r="B10" s="68" t="s">
        <v>208</v>
      </c>
      <c r="C10" s="79">
        <f>통상임금!H6</f>
        <v>110200</v>
      </c>
      <c r="D10" s="93">
        <f>D5</f>
        <v>15</v>
      </c>
      <c r="E10" s="81">
        <f>인집!D7</f>
        <v>1</v>
      </c>
      <c r="F10" s="79">
        <f t="shared" ref="F10:F20" si="0">INT(C10*D10*E10)</f>
        <v>1653000</v>
      </c>
      <c r="G10" s="79">
        <f t="shared" ref="G10:G20" si="1">INT(F10/12)</f>
        <v>137750</v>
      </c>
    </row>
    <row r="11" spans="1:7" ht="24.95" customHeight="1">
      <c r="A11" s="243"/>
      <c r="B11" s="68" t="s">
        <v>210</v>
      </c>
      <c r="C11" s="79">
        <f>INT(통상임금!G6*150%)</f>
        <v>20662</v>
      </c>
      <c r="D11" s="120">
        <f>ROUND(8*3/4,1)</f>
        <v>6</v>
      </c>
      <c r="E11" s="81">
        <f>E10</f>
        <v>1</v>
      </c>
      <c r="F11" s="79">
        <f>INT(C11*D11*E11)</f>
        <v>123972</v>
      </c>
      <c r="G11" s="79">
        <f>INT(F11/12)</f>
        <v>10331</v>
      </c>
    </row>
    <row r="12" spans="1:7" ht="24.95" hidden="1" customHeight="1">
      <c r="A12" s="243"/>
      <c r="B12" s="68" t="s">
        <v>211</v>
      </c>
      <c r="C12" s="79"/>
      <c r="D12" s="94"/>
      <c r="E12" s="81"/>
      <c r="F12" s="79"/>
      <c r="G12" s="79">
        <f>INT(C12*D12*E12)</f>
        <v>0</v>
      </c>
    </row>
    <row r="13" spans="1:7" ht="24.95" hidden="1" customHeight="1">
      <c r="A13" s="243"/>
      <c r="B13" s="68" t="s">
        <v>212</v>
      </c>
      <c r="C13" s="79"/>
      <c r="D13" s="94"/>
      <c r="E13" s="81"/>
      <c r="F13" s="79"/>
      <c r="G13" s="79">
        <f>INT(C13*D13*E13)</f>
        <v>0</v>
      </c>
    </row>
    <row r="14" spans="1:7" ht="24.95" customHeight="1">
      <c r="A14" s="244"/>
      <c r="B14" s="152" t="s">
        <v>209</v>
      </c>
      <c r="C14" s="153"/>
      <c r="D14" s="154"/>
      <c r="E14" s="155"/>
      <c r="F14" s="153"/>
      <c r="G14" s="153">
        <f>SUM(G10:G13)</f>
        <v>148081</v>
      </c>
    </row>
    <row r="15" spans="1:7" ht="24.95" customHeight="1">
      <c r="A15" s="242" t="str">
        <f>인집!B8</f>
        <v>전기담당</v>
      </c>
      <c r="B15" s="68" t="s">
        <v>208</v>
      </c>
      <c r="C15" s="79">
        <f>통상임금!H7</f>
        <v>110200</v>
      </c>
      <c r="D15" s="93">
        <f>D5</f>
        <v>15</v>
      </c>
      <c r="E15" s="81">
        <f>인집!D8</f>
        <v>1</v>
      </c>
      <c r="F15" s="79">
        <f t="shared" si="0"/>
        <v>1653000</v>
      </c>
      <c r="G15" s="79">
        <f t="shared" si="1"/>
        <v>137750</v>
      </c>
    </row>
    <row r="16" spans="1:7" ht="24.95" customHeight="1">
      <c r="A16" s="243"/>
      <c r="B16" s="68" t="s">
        <v>210</v>
      </c>
      <c r="C16" s="79">
        <f>INT(통상임금!G7*150%)</f>
        <v>20662</v>
      </c>
      <c r="D16" s="120">
        <f>ROUND(8*3/4,1)</f>
        <v>6</v>
      </c>
      <c r="E16" s="81">
        <f>E15</f>
        <v>1</v>
      </c>
      <c r="F16" s="79">
        <f>INT(C16*D16*E16)</f>
        <v>123972</v>
      </c>
      <c r="G16" s="79">
        <f>INT(F16/12)</f>
        <v>10331</v>
      </c>
    </row>
    <row r="17" spans="1:7" ht="24.95" hidden="1" customHeight="1">
      <c r="A17" s="243"/>
      <c r="B17" s="68" t="s">
        <v>211</v>
      </c>
      <c r="C17" s="79"/>
      <c r="D17" s="94"/>
      <c r="E17" s="81"/>
      <c r="F17" s="79"/>
      <c r="G17" s="79">
        <f>INT(C17*D17*E17)</f>
        <v>0</v>
      </c>
    </row>
    <row r="18" spans="1:7" ht="24.95" hidden="1" customHeight="1">
      <c r="A18" s="243"/>
      <c r="B18" s="68" t="s">
        <v>212</v>
      </c>
      <c r="C18" s="79"/>
      <c r="D18" s="94"/>
      <c r="E18" s="81"/>
      <c r="F18" s="79"/>
      <c r="G18" s="79">
        <f>INT(C18*D18*E18)</f>
        <v>0</v>
      </c>
    </row>
    <row r="19" spans="1:7" ht="24.95" customHeight="1">
      <c r="A19" s="244"/>
      <c r="B19" s="152" t="s">
        <v>209</v>
      </c>
      <c r="C19" s="153"/>
      <c r="D19" s="154"/>
      <c r="E19" s="155"/>
      <c r="F19" s="153"/>
      <c r="G19" s="153">
        <f>SUM(G15:G18)</f>
        <v>148081</v>
      </c>
    </row>
    <row r="20" spans="1:7" ht="24.95" customHeight="1">
      <c r="A20" s="242" t="str">
        <f>인집!B9</f>
        <v>영선담당</v>
      </c>
      <c r="B20" s="68" t="s">
        <v>208</v>
      </c>
      <c r="C20" s="79">
        <f>통상임금!H8</f>
        <v>104704</v>
      </c>
      <c r="D20" s="93">
        <f>D5</f>
        <v>15</v>
      </c>
      <c r="E20" s="81">
        <f>인집!D9</f>
        <v>1</v>
      </c>
      <c r="F20" s="79">
        <f t="shared" si="0"/>
        <v>1570560</v>
      </c>
      <c r="G20" s="79">
        <f t="shared" si="1"/>
        <v>130880</v>
      </c>
    </row>
    <row r="21" spans="1:7" ht="24.95" customHeight="1">
      <c r="A21" s="243"/>
      <c r="B21" s="68" t="s">
        <v>210</v>
      </c>
      <c r="C21" s="79">
        <f>INT(통상임금!G8*150%)</f>
        <v>19632</v>
      </c>
      <c r="D21" s="120">
        <f>ROUND(8*3/4,1)</f>
        <v>6</v>
      </c>
      <c r="E21" s="81">
        <f>E20</f>
        <v>1</v>
      </c>
      <c r="F21" s="79">
        <f>INT(C21*D21*E21)</f>
        <v>117792</v>
      </c>
      <c r="G21" s="79">
        <f>INT(F21/12)</f>
        <v>9816</v>
      </c>
    </row>
    <row r="22" spans="1:7" ht="24.95" hidden="1" customHeight="1">
      <c r="A22" s="243"/>
      <c r="B22" s="68" t="s">
        <v>211</v>
      </c>
      <c r="C22" s="79"/>
      <c r="D22" s="94"/>
      <c r="E22" s="81"/>
      <c r="F22" s="79"/>
      <c r="G22" s="79">
        <f>INT(C22*D22*E22)</f>
        <v>0</v>
      </c>
    </row>
    <row r="23" spans="1:7" ht="24.95" hidden="1" customHeight="1">
      <c r="A23" s="243"/>
      <c r="B23" s="68" t="s">
        <v>212</v>
      </c>
      <c r="C23" s="79"/>
      <c r="D23" s="94"/>
      <c r="E23" s="81"/>
      <c r="F23" s="79"/>
      <c r="G23" s="79">
        <f>INT(C23*D23*E23)</f>
        <v>0</v>
      </c>
    </row>
    <row r="24" spans="1:7" ht="24.95" customHeight="1">
      <c r="A24" s="244"/>
      <c r="B24" s="152" t="s">
        <v>209</v>
      </c>
      <c r="C24" s="153"/>
      <c r="D24" s="154"/>
      <c r="E24" s="155"/>
      <c r="F24" s="153"/>
      <c r="G24" s="153">
        <f>SUM(G20:G23)</f>
        <v>140696</v>
      </c>
    </row>
    <row r="25" spans="1:7" ht="24.95" customHeight="1">
      <c r="A25" s="242" t="str">
        <f>인집!B10</f>
        <v>조경담당</v>
      </c>
      <c r="B25" s="68" t="s">
        <v>208</v>
      </c>
      <c r="C25" s="79">
        <f>통상임금!H9</f>
        <v>104704</v>
      </c>
      <c r="D25" s="93">
        <f>D5</f>
        <v>15</v>
      </c>
      <c r="E25" s="81">
        <f>인집!D10</f>
        <v>1</v>
      </c>
      <c r="F25" s="79">
        <f t="shared" ref="F25" si="2">INT(C25*D25*E25)</f>
        <v>1570560</v>
      </c>
      <c r="G25" s="79">
        <f t="shared" ref="G25" si="3">INT(F25/12)</f>
        <v>130880</v>
      </c>
    </row>
    <row r="26" spans="1:7" ht="24.95" customHeight="1">
      <c r="A26" s="243"/>
      <c r="B26" s="68" t="s">
        <v>210</v>
      </c>
      <c r="C26" s="79">
        <f>INT(통상임금!G9*150%)</f>
        <v>19632</v>
      </c>
      <c r="D26" s="120">
        <f>ROUND(8*3/4,1)</f>
        <v>6</v>
      </c>
      <c r="E26" s="81">
        <f>E25</f>
        <v>1</v>
      </c>
      <c r="F26" s="79">
        <f>INT(C26*D26*E26)</f>
        <v>117792</v>
      </c>
      <c r="G26" s="79">
        <f>INT(F26/12)</f>
        <v>9816</v>
      </c>
    </row>
    <row r="27" spans="1:7" ht="24.95" hidden="1" customHeight="1">
      <c r="A27" s="243"/>
      <c r="B27" s="68" t="s">
        <v>211</v>
      </c>
      <c r="C27" s="79"/>
      <c r="D27" s="94"/>
      <c r="E27" s="81"/>
      <c r="F27" s="79"/>
      <c r="G27" s="79">
        <f>INT(C27*D27*E27)</f>
        <v>0</v>
      </c>
    </row>
    <row r="28" spans="1:7" ht="24.95" hidden="1" customHeight="1">
      <c r="A28" s="243"/>
      <c r="B28" s="68" t="s">
        <v>212</v>
      </c>
      <c r="C28" s="79"/>
      <c r="D28" s="94"/>
      <c r="E28" s="81"/>
      <c r="F28" s="79"/>
      <c r="G28" s="79">
        <f>INT(C28*D28*E28)</f>
        <v>0</v>
      </c>
    </row>
    <row r="29" spans="1:7" ht="24.95" customHeight="1">
      <c r="A29" s="244"/>
      <c r="B29" s="152" t="s">
        <v>209</v>
      </c>
      <c r="C29" s="153"/>
      <c r="D29" s="154"/>
      <c r="E29" s="155"/>
      <c r="F29" s="153"/>
      <c r="G29" s="153">
        <f>SUM(G25:G28)</f>
        <v>140696</v>
      </c>
    </row>
    <row r="30" spans="1:7" ht="24.95" customHeight="1">
      <c r="A30" s="242" t="str">
        <f>인집!B11</f>
        <v>미화반장</v>
      </c>
      <c r="B30" s="68" t="s">
        <v>208</v>
      </c>
      <c r="C30" s="79">
        <f>통상임금!H10</f>
        <v>80376</v>
      </c>
      <c r="D30" s="93">
        <f>D5</f>
        <v>15</v>
      </c>
      <c r="E30" s="81">
        <f>인집!D11</f>
        <v>1</v>
      </c>
      <c r="F30" s="79">
        <f t="shared" ref="F30" si="4">INT(C30*D30*E30)</f>
        <v>1205640</v>
      </c>
      <c r="G30" s="79">
        <f t="shared" ref="G30" si="5">INT(F30/12)</f>
        <v>100470</v>
      </c>
    </row>
    <row r="31" spans="1:7" ht="24.95" customHeight="1">
      <c r="A31" s="243"/>
      <c r="B31" s="68" t="s">
        <v>210</v>
      </c>
      <c r="C31" s="79"/>
      <c r="D31" s="120"/>
      <c r="E31" s="81"/>
      <c r="F31" s="79">
        <f>INT(C31*D31*E31)</f>
        <v>0</v>
      </c>
      <c r="G31" s="79">
        <f>INT(F31/12)</f>
        <v>0</v>
      </c>
    </row>
    <row r="32" spans="1:7" ht="24.95" hidden="1" customHeight="1">
      <c r="A32" s="243"/>
      <c r="B32" s="68" t="s">
        <v>211</v>
      </c>
      <c r="C32" s="79"/>
      <c r="D32" s="94"/>
      <c r="E32" s="81"/>
      <c r="F32" s="79"/>
      <c r="G32" s="79">
        <f>INT(C32*D32*E32)</f>
        <v>0</v>
      </c>
    </row>
    <row r="33" spans="1:7" ht="24.95" hidden="1" customHeight="1">
      <c r="A33" s="243"/>
      <c r="B33" s="68" t="s">
        <v>212</v>
      </c>
      <c r="C33" s="79"/>
      <c r="D33" s="94"/>
      <c r="E33" s="81"/>
      <c r="F33" s="79"/>
      <c r="G33" s="79">
        <f>INT(C33*D33*E33)</f>
        <v>0</v>
      </c>
    </row>
    <row r="34" spans="1:7" ht="24.95" customHeight="1">
      <c r="A34" s="244"/>
      <c r="B34" s="152" t="s">
        <v>209</v>
      </c>
      <c r="C34" s="153"/>
      <c r="D34" s="154"/>
      <c r="E34" s="155"/>
      <c r="F34" s="153"/>
      <c r="G34" s="153">
        <f>SUM(G30:G33)</f>
        <v>100470</v>
      </c>
    </row>
    <row r="35" spans="1:7" ht="24.95" customHeight="1">
      <c r="A35" s="242" t="str">
        <f>인집!B12</f>
        <v>미화원(남·여)</v>
      </c>
      <c r="B35" s="68" t="s">
        <v>208</v>
      </c>
      <c r="C35" s="79">
        <f>통상임금!H11</f>
        <v>103344</v>
      </c>
      <c r="D35" s="93">
        <f>D10</f>
        <v>15</v>
      </c>
      <c r="E35" s="81">
        <f>인집!D12</f>
        <v>4</v>
      </c>
      <c r="F35" s="79">
        <f t="shared" ref="F35" si="6">INT(C35*D35*E35)</f>
        <v>6200640</v>
      </c>
      <c r="G35" s="79">
        <f t="shared" ref="G35" si="7">INT(F35/12)</f>
        <v>516720</v>
      </c>
    </row>
    <row r="36" spans="1:7" ht="24.95" customHeight="1">
      <c r="A36" s="243"/>
      <c r="B36" s="68" t="s">
        <v>210</v>
      </c>
      <c r="C36" s="79">
        <f>INT(통상임금!G11*150%)</f>
        <v>19377</v>
      </c>
      <c r="D36" s="120">
        <f>ROUND(8*3/4,1)</f>
        <v>6</v>
      </c>
      <c r="E36" s="81">
        <f>E35</f>
        <v>4</v>
      </c>
      <c r="F36" s="79">
        <f>INT(C36*D36*E36)</f>
        <v>465048</v>
      </c>
      <c r="G36" s="79">
        <f>INT(F36/12)</f>
        <v>38754</v>
      </c>
    </row>
    <row r="37" spans="1:7" ht="24.95" hidden="1" customHeight="1">
      <c r="A37" s="243"/>
      <c r="B37" s="68" t="s">
        <v>211</v>
      </c>
      <c r="C37" s="79"/>
      <c r="D37" s="94"/>
      <c r="E37" s="81"/>
      <c r="F37" s="79"/>
      <c r="G37" s="79">
        <f>INT(C37*D37*E37)</f>
        <v>0</v>
      </c>
    </row>
    <row r="38" spans="1:7" ht="24.95" hidden="1" customHeight="1">
      <c r="A38" s="243"/>
      <c r="B38" s="68" t="s">
        <v>212</v>
      </c>
      <c r="C38" s="79"/>
      <c r="D38" s="94"/>
      <c r="E38" s="81"/>
      <c r="F38" s="79"/>
      <c r="G38" s="79">
        <f>INT(C38*D38*E38)</f>
        <v>0</v>
      </c>
    </row>
    <row r="39" spans="1:7" ht="24.95" customHeight="1">
      <c r="A39" s="244"/>
      <c r="B39" s="152" t="s">
        <v>209</v>
      </c>
      <c r="C39" s="153"/>
      <c r="D39" s="154"/>
      <c r="E39" s="155"/>
      <c r="F39" s="153"/>
      <c r="G39" s="153">
        <f>SUM(G35:G38)</f>
        <v>555474</v>
      </c>
    </row>
    <row r="40" spans="1:7" ht="24.95" customHeight="1">
      <c r="A40" s="242" t="str">
        <f>인집!B13</f>
        <v>경비반장</v>
      </c>
      <c r="B40" s="68" t="s">
        <v>208</v>
      </c>
      <c r="C40" s="79">
        <f>통상임금!H12</f>
        <v>80376</v>
      </c>
      <c r="D40" s="93">
        <f>D10</f>
        <v>15</v>
      </c>
      <c r="E40" s="81">
        <f>인집!D13</f>
        <v>1</v>
      </c>
      <c r="F40" s="79">
        <f t="shared" ref="F40" si="8">INT(C40*D40*E40)</f>
        <v>1205640</v>
      </c>
      <c r="G40" s="79">
        <f t="shared" ref="G40" si="9">INT(F40/12)</f>
        <v>100470</v>
      </c>
    </row>
    <row r="41" spans="1:7" ht="24.95" customHeight="1">
      <c r="A41" s="243"/>
      <c r="B41" s="68" t="s">
        <v>210</v>
      </c>
      <c r="C41" s="79">
        <f>INT(통상임금!G12*150%)</f>
        <v>15070</v>
      </c>
      <c r="D41" s="120">
        <f>ROUND((9+8)/3,1)</f>
        <v>5.7</v>
      </c>
      <c r="E41" s="81">
        <f>E40</f>
        <v>1</v>
      </c>
      <c r="F41" s="79">
        <f>INT(C41*D41*E41)</f>
        <v>85899</v>
      </c>
      <c r="G41" s="79">
        <f>INT(F41/12)</f>
        <v>7158</v>
      </c>
    </row>
    <row r="42" spans="1:7" ht="24.95" hidden="1" customHeight="1">
      <c r="A42" s="243"/>
      <c r="B42" s="68" t="s">
        <v>211</v>
      </c>
      <c r="C42" s="79"/>
      <c r="D42" s="94"/>
      <c r="E42" s="81"/>
      <c r="F42" s="79"/>
      <c r="G42" s="79">
        <f>INT(C42*D42*E42)</f>
        <v>0</v>
      </c>
    </row>
    <row r="43" spans="1:7" ht="24.95" customHeight="1">
      <c r="A43" s="243"/>
      <c r="B43" s="68" t="s">
        <v>212</v>
      </c>
      <c r="C43" s="79">
        <f>INT(통상임금!G12*50%)</f>
        <v>5023</v>
      </c>
      <c r="D43" s="94">
        <f>근로시간!I17</f>
        <v>61</v>
      </c>
      <c r="E43" s="81">
        <f>E40</f>
        <v>1</v>
      </c>
      <c r="F43" s="79"/>
      <c r="G43" s="79">
        <f>INT(C43*D43*E43)</f>
        <v>306403</v>
      </c>
    </row>
    <row r="44" spans="1:7" ht="24.95" customHeight="1">
      <c r="A44" s="244"/>
      <c r="B44" s="152" t="s">
        <v>209</v>
      </c>
      <c r="C44" s="153"/>
      <c r="D44" s="154"/>
      <c r="E44" s="155"/>
      <c r="F44" s="153"/>
      <c r="G44" s="153">
        <f>SUM(G40:G43)</f>
        <v>414031</v>
      </c>
    </row>
    <row r="45" spans="1:7" ht="24.95" customHeight="1">
      <c r="A45" s="242" t="str">
        <f>인집!B14</f>
        <v>경비원</v>
      </c>
      <c r="B45" s="68" t="s">
        <v>208</v>
      </c>
      <c r="C45" s="79">
        <f>통상임금!H13</f>
        <v>74632</v>
      </c>
      <c r="D45" s="93">
        <f>D10</f>
        <v>15</v>
      </c>
      <c r="E45" s="81">
        <f>인집!D14</f>
        <v>2</v>
      </c>
      <c r="F45" s="79">
        <f t="shared" ref="F45" si="10">INT(C45*D45*E45)</f>
        <v>2238960</v>
      </c>
      <c r="G45" s="79">
        <f t="shared" ref="G45" si="11">INT(F45/12)</f>
        <v>186580</v>
      </c>
    </row>
    <row r="46" spans="1:7" ht="24.95" customHeight="1">
      <c r="A46" s="243"/>
      <c r="B46" s="68" t="s">
        <v>210</v>
      </c>
      <c r="C46" s="79">
        <f>INT(통상임금!G13*150%)</f>
        <v>13993</v>
      </c>
      <c r="D46" s="120">
        <f>ROUND((9+8)/3,1)</f>
        <v>5.7</v>
      </c>
      <c r="E46" s="81">
        <f>E45</f>
        <v>2</v>
      </c>
      <c r="F46" s="79">
        <f>INT(C46*D46*E46)</f>
        <v>159520</v>
      </c>
      <c r="G46" s="79">
        <f>INT(F46/12)</f>
        <v>13293</v>
      </c>
    </row>
    <row r="47" spans="1:7" ht="24.95" hidden="1" customHeight="1">
      <c r="A47" s="243"/>
      <c r="B47" s="68" t="s">
        <v>211</v>
      </c>
      <c r="C47" s="79"/>
      <c r="D47" s="94"/>
      <c r="E47" s="81"/>
      <c r="F47" s="79"/>
      <c r="G47" s="79">
        <f>INT(C47*D47*E47)</f>
        <v>0</v>
      </c>
    </row>
    <row r="48" spans="1:7" ht="24.95" customHeight="1">
      <c r="A48" s="243"/>
      <c r="B48" s="68" t="s">
        <v>212</v>
      </c>
      <c r="C48" s="79">
        <f>INT(통상임금!G13*50%)</f>
        <v>4664</v>
      </c>
      <c r="D48" s="94">
        <f>근로시간!I17</f>
        <v>61</v>
      </c>
      <c r="E48" s="81">
        <f>E45</f>
        <v>2</v>
      </c>
      <c r="F48" s="79"/>
      <c r="G48" s="79">
        <f>INT(C48*D48*E48)</f>
        <v>569008</v>
      </c>
    </row>
    <row r="49" spans="1:9" ht="24.95" customHeight="1">
      <c r="A49" s="244"/>
      <c r="B49" s="152" t="s">
        <v>209</v>
      </c>
      <c r="C49" s="153"/>
      <c r="D49" s="154"/>
      <c r="E49" s="155"/>
      <c r="F49" s="153"/>
      <c r="G49" s="153">
        <f>SUM(G45:G48)</f>
        <v>768881</v>
      </c>
    </row>
    <row r="50" spans="1:9" ht="24.95" customHeight="1" thickBot="1">
      <c r="A50" s="128"/>
      <c r="B50" s="70"/>
      <c r="C50" s="83"/>
      <c r="D50" s="84"/>
      <c r="E50" s="85"/>
      <c r="F50" s="83"/>
      <c r="G50" s="83"/>
    </row>
    <row r="51" spans="1:9" ht="24.95" customHeight="1" thickTop="1">
      <c r="A51" s="73" t="s">
        <v>139</v>
      </c>
      <c r="B51" s="73"/>
      <c r="C51" s="86"/>
      <c r="D51" s="87"/>
      <c r="E51" s="88"/>
      <c r="F51" s="86"/>
      <c r="G51" s="86">
        <f>G9+G14+G19+G24+G29+G34+G39+G44+G49</f>
        <v>2573150</v>
      </c>
    </row>
    <row r="52" spans="1:9" ht="24.95" customHeight="1">
      <c r="A52" s="2" t="s">
        <v>216</v>
      </c>
    </row>
    <row r="53" spans="1:9" ht="24.95" customHeight="1">
      <c r="A53" s="2" t="s">
        <v>215</v>
      </c>
    </row>
    <row r="54" spans="1:9" ht="24.95" customHeight="1">
      <c r="A54" s="2" t="s">
        <v>457</v>
      </c>
      <c r="I54" s="2" t="s">
        <v>458</v>
      </c>
    </row>
    <row r="55" spans="1:9" ht="24.95" customHeight="1">
      <c r="A55" s="2" t="s">
        <v>213</v>
      </c>
    </row>
    <row r="56" spans="1:9" ht="24.95" customHeight="1">
      <c r="A56" s="2" t="s">
        <v>214</v>
      </c>
    </row>
    <row r="57" spans="1:9" ht="24.95" customHeight="1">
      <c r="A57" s="2" t="s">
        <v>215</v>
      </c>
    </row>
    <row r="58" spans="1:9" ht="24.95" customHeight="1">
      <c r="A58" s="2" t="s">
        <v>435</v>
      </c>
    </row>
    <row r="59" spans="1:9" ht="24.95" customHeight="1">
      <c r="A59" s="2" t="s">
        <v>467</v>
      </c>
    </row>
    <row r="60" spans="1:9" ht="24.95" customHeight="1">
      <c r="A60" s="2" t="s">
        <v>468</v>
      </c>
    </row>
    <row r="61" spans="1:9" ht="24.95" customHeight="1">
      <c r="A61" s="2" t="s">
        <v>469</v>
      </c>
    </row>
    <row r="62" spans="1:9" ht="24.95" customHeight="1">
      <c r="A62" s="2" t="s">
        <v>465</v>
      </c>
    </row>
    <row r="63" spans="1:9" ht="24.95" customHeight="1">
      <c r="A63" s="2" t="s">
        <v>436</v>
      </c>
    </row>
    <row r="64" spans="1:9" ht="24.95" customHeight="1">
      <c r="A64" s="2" t="s">
        <v>437</v>
      </c>
    </row>
    <row r="65" spans="1:1" ht="24.95" customHeight="1">
      <c r="A65" s="2" t="s">
        <v>318</v>
      </c>
    </row>
  </sheetData>
  <mergeCells count="10">
    <mergeCell ref="A25:A29"/>
    <mergeCell ref="A30:A34"/>
    <mergeCell ref="A35:A39"/>
    <mergeCell ref="A40:A44"/>
    <mergeCell ref="A45:A49"/>
    <mergeCell ref="A1:G1"/>
    <mergeCell ref="A20:A24"/>
    <mergeCell ref="A15:A19"/>
    <mergeCell ref="A10:A14"/>
    <mergeCell ref="A5:A9"/>
  </mergeCells>
  <phoneticPr fontId="4" type="noConversion"/>
  <pageMargins left="0.59055118110236227" right="0.59055118110236227" top="1.0236220472440944" bottom="1.47" header="0.70866141732283472" footer="0.51181102362204722"/>
  <pageSetup paperSize="9" orientation="portrait" r:id="rId1"/>
</worksheet>
</file>

<file path=xl/worksheets/sheet18.xml><?xml version="1.0" encoding="utf-8"?>
<worksheet xmlns="http://schemas.openxmlformats.org/spreadsheetml/2006/main" xmlns:r="http://schemas.openxmlformats.org/officeDocument/2006/relationships">
  <dimension ref="A1:F13"/>
  <sheetViews>
    <sheetView view="pageBreakPreview" zoomScaleNormal="100" zoomScaleSheetLayoutView="100" workbookViewId="0">
      <selection activeCell="I18" sqref="I18"/>
    </sheetView>
  </sheetViews>
  <sheetFormatPr defaultRowHeight="24.95" customHeight="1"/>
  <cols>
    <col min="1" max="1" width="15.625" style="2" customWidth="1"/>
    <col min="2" max="3" width="14.625" style="2" customWidth="1"/>
    <col min="4" max="4" width="8.625" style="2" customWidth="1"/>
    <col min="5" max="6" width="14.625" style="2" customWidth="1"/>
    <col min="7" max="7" width="9" style="2"/>
    <col min="8" max="8" width="10.625" style="2" customWidth="1"/>
    <col min="9" max="9" width="9" style="2" customWidth="1"/>
    <col min="10" max="16384" width="9" style="2"/>
  </cols>
  <sheetData>
    <row r="1" spans="1:6" ht="39.950000000000003" customHeight="1">
      <c r="A1" s="165" t="s">
        <v>148</v>
      </c>
      <c r="B1" s="165"/>
      <c r="C1" s="165"/>
      <c r="D1" s="165"/>
      <c r="E1" s="165"/>
      <c r="F1" s="165"/>
    </row>
    <row r="2" spans="1:6" ht="15" customHeight="1"/>
    <row r="3" spans="1:6" ht="24.95" customHeight="1">
      <c r="A3" s="24" t="str">
        <f>원가!A3</f>
        <v>▣ 건   명 : 경기상상캠퍼스 시설관리용역(시설, 미화, 경비)</v>
      </c>
      <c r="F3" s="43" t="s">
        <v>156</v>
      </c>
    </row>
    <row r="4" spans="1:6" ht="30" customHeight="1">
      <c r="A4" s="44" t="s">
        <v>129</v>
      </c>
      <c r="B4" s="44" t="s">
        <v>149</v>
      </c>
      <c r="C4" s="44" t="s">
        <v>150</v>
      </c>
      <c r="D4" s="44" t="s">
        <v>132</v>
      </c>
      <c r="E4" s="44" t="s">
        <v>152</v>
      </c>
      <c r="F4" s="44" t="s">
        <v>153</v>
      </c>
    </row>
    <row r="5" spans="1:6" ht="24.95" customHeight="1">
      <c r="A5" s="127" t="str">
        <f>인집!B6</f>
        <v>시설반장</v>
      </c>
      <c r="B5" s="38">
        <f>통상임금!H5</f>
        <v>125392</v>
      </c>
      <c r="C5" s="76">
        <v>15</v>
      </c>
      <c r="D5" s="69">
        <f>인집!D6</f>
        <v>1</v>
      </c>
      <c r="E5" s="38">
        <f>TRUNC(B5*C5*D5)</f>
        <v>1880880</v>
      </c>
      <c r="F5" s="38">
        <f t="shared" ref="F5" si="0">TRUNC(E5/12)</f>
        <v>156740</v>
      </c>
    </row>
    <row r="6" spans="1:6" ht="24.95" customHeight="1">
      <c r="A6" s="127" t="str">
        <f>인집!B7</f>
        <v>기계담당</v>
      </c>
      <c r="B6" s="38">
        <f>통상임금!H6</f>
        <v>110200</v>
      </c>
      <c r="C6" s="76">
        <f>C5</f>
        <v>15</v>
      </c>
      <c r="D6" s="69">
        <f>인집!D7</f>
        <v>1</v>
      </c>
      <c r="E6" s="38">
        <f t="shared" ref="E6:E8" si="1">TRUNC(B6*C6*D6)</f>
        <v>1653000</v>
      </c>
      <c r="F6" s="38">
        <f t="shared" ref="F6:F8" si="2">TRUNC(E6/12)</f>
        <v>137750</v>
      </c>
    </row>
    <row r="7" spans="1:6" ht="24.95" customHeight="1">
      <c r="A7" s="127" t="str">
        <f>인집!B8</f>
        <v>전기담당</v>
      </c>
      <c r="B7" s="38">
        <f>통상임금!H7</f>
        <v>110200</v>
      </c>
      <c r="C7" s="76">
        <f>C5</f>
        <v>15</v>
      </c>
      <c r="D7" s="69">
        <f>인집!D8</f>
        <v>1</v>
      </c>
      <c r="E7" s="38">
        <f t="shared" si="1"/>
        <v>1653000</v>
      </c>
      <c r="F7" s="38">
        <f t="shared" si="2"/>
        <v>137750</v>
      </c>
    </row>
    <row r="8" spans="1:6" ht="24.95" customHeight="1">
      <c r="A8" s="127" t="str">
        <f>인집!B9</f>
        <v>영선담당</v>
      </c>
      <c r="B8" s="38">
        <f>통상임금!H8</f>
        <v>104704</v>
      </c>
      <c r="C8" s="76">
        <f>C5</f>
        <v>15</v>
      </c>
      <c r="D8" s="69">
        <f>인집!D9</f>
        <v>1</v>
      </c>
      <c r="E8" s="38">
        <f t="shared" si="1"/>
        <v>1570560</v>
      </c>
      <c r="F8" s="38">
        <f t="shared" si="2"/>
        <v>130880</v>
      </c>
    </row>
    <row r="9" spans="1:6" ht="24.95" customHeight="1" thickBot="1">
      <c r="A9" s="128"/>
      <c r="B9" s="71"/>
      <c r="C9" s="77"/>
      <c r="D9" s="72"/>
      <c r="E9" s="71"/>
      <c r="F9" s="71"/>
    </row>
    <row r="10" spans="1:6" ht="24.95" customHeight="1" thickTop="1">
      <c r="A10" s="73" t="s">
        <v>139</v>
      </c>
      <c r="B10" s="74"/>
      <c r="C10" s="78"/>
      <c r="D10" s="75">
        <f>SUM(D5:D9)</f>
        <v>4</v>
      </c>
      <c r="E10" s="74"/>
      <c r="F10" s="74">
        <f>SUM(F5:F9)</f>
        <v>563120</v>
      </c>
    </row>
    <row r="11" spans="1:6" ht="24.95" customHeight="1">
      <c r="A11" s="2" t="s">
        <v>188</v>
      </c>
    </row>
    <row r="12" spans="1:6" ht="24.95" customHeight="1">
      <c r="A12" s="2" t="s">
        <v>151</v>
      </c>
    </row>
    <row r="13" spans="1:6" ht="24.95" customHeight="1">
      <c r="A13" s="2" t="s">
        <v>154</v>
      </c>
    </row>
  </sheetData>
  <mergeCells count="1">
    <mergeCell ref="A1:F1"/>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19.xml><?xml version="1.0" encoding="utf-8"?>
<worksheet xmlns="http://schemas.openxmlformats.org/spreadsheetml/2006/main" xmlns:r="http://schemas.openxmlformats.org/officeDocument/2006/relationships">
  <dimension ref="A1:G20"/>
  <sheetViews>
    <sheetView view="pageBreakPreview" zoomScaleNormal="100" zoomScaleSheetLayoutView="100" workbookViewId="0">
      <selection activeCell="I18" sqref="I18"/>
    </sheetView>
  </sheetViews>
  <sheetFormatPr defaultRowHeight="24.95" customHeight="1"/>
  <cols>
    <col min="1" max="1" width="15.625" style="2" customWidth="1"/>
    <col min="2" max="5" width="11.625" style="2" customWidth="1"/>
    <col min="6" max="6" width="9.125" style="2" customWidth="1"/>
    <col min="7" max="7" width="11.625" style="2" customWidth="1"/>
    <col min="8" max="8" width="9" style="2"/>
    <col min="9" max="9" width="10.625" style="2" customWidth="1"/>
    <col min="10" max="10" width="9" style="2" customWidth="1"/>
    <col min="11" max="16384" width="9" style="2"/>
  </cols>
  <sheetData>
    <row r="1" spans="1:7" ht="39.950000000000003" customHeight="1">
      <c r="A1" s="165" t="s">
        <v>155</v>
      </c>
      <c r="B1" s="165"/>
      <c r="C1" s="165"/>
      <c r="D1" s="165"/>
      <c r="E1" s="165"/>
      <c r="F1" s="165"/>
      <c r="G1" s="165"/>
    </row>
    <row r="2" spans="1:7" ht="15" customHeight="1"/>
    <row r="3" spans="1:7" ht="24.95" customHeight="1">
      <c r="A3" s="24" t="str">
        <f>원가!A3</f>
        <v>▣ 건   명 : 경기상상캠퍼스 시설관리용역(시설, 미화, 경비)</v>
      </c>
      <c r="G3" s="43" t="s">
        <v>157</v>
      </c>
    </row>
    <row r="4" spans="1:7" ht="20.100000000000001" customHeight="1">
      <c r="A4" s="245" t="s">
        <v>158</v>
      </c>
      <c r="B4" s="245" t="s">
        <v>159</v>
      </c>
      <c r="C4" s="245"/>
      <c r="D4" s="245"/>
      <c r="E4" s="245"/>
      <c r="F4" s="245" t="s">
        <v>160</v>
      </c>
      <c r="G4" s="246" t="s">
        <v>161</v>
      </c>
    </row>
    <row r="5" spans="1:7" ht="20.100000000000001" customHeight="1">
      <c r="A5" s="245"/>
      <c r="B5" s="66" t="s">
        <v>162</v>
      </c>
      <c r="C5" s="66" t="s">
        <v>163</v>
      </c>
      <c r="D5" s="66" t="s">
        <v>164</v>
      </c>
      <c r="E5" s="66" t="s">
        <v>165</v>
      </c>
      <c r="F5" s="245"/>
      <c r="G5" s="246"/>
    </row>
    <row r="6" spans="1:7" ht="24" customHeight="1">
      <c r="A6" s="127" t="str">
        <f>인집!B6</f>
        <v>시설반장</v>
      </c>
      <c r="B6" s="79">
        <f>기본급!E5</f>
        <v>2807915</v>
      </c>
      <c r="C6" s="79">
        <f>상여금!F5</f>
        <v>467985</v>
      </c>
      <c r="D6" s="79">
        <f>제수당!G9</f>
        <v>156740</v>
      </c>
      <c r="E6" s="79">
        <f>SUM(B6:D6)</f>
        <v>3432640</v>
      </c>
      <c r="F6" s="92" t="str">
        <f>"1/12"</f>
        <v>1/12</v>
      </c>
      <c r="G6" s="79">
        <f t="shared" ref="G6:G9" si="0">INT(E6/12)</f>
        <v>286053</v>
      </c>
    </row>
    <row r="7" spans="1:7" ht="24" customHeight="1">
      <c r="A7" s="127" t="str">
        <f>인집!B7</f>
        <v>기계담당</v>
      </c>
      <c r="B7" s="79">
        <f>기본급!E6</f>
        <v>2559205</v>
      </c>
      <c r="C7" s="79">
        <f>상여금!F6</f>
        <v>319900</v>
      </c>
      <c r="D7" s="79">
        <f>제수당!G14</f>
        <v>148081</v>
      </c>
      <c r="E7" s="79">
        <f t="shared" ref="E7:E9" si="1">SUM(B7:D7)</f>
        <v>3027186</v>
      </c>
      <c r="F7" s="92" t="str">
        <f t="shared" ref="F7:F14" si="2">"1/12"</f>
        <v>1/12</v>
      </c>
      <c r="G7" s="79">
        <f t="shared" si="0"/>
        <v>252265</v>
      </c>
    </row>
    <row r="8" spans="1:7" ht="24" customHeight="1">
      <c r="A8" s="127" t="str">
        <f>인집!B8</f>
        <v>전기담당</v>
      </c>
      <c r="B8" s="79">
        <f>기본급!E7</f>
        <v>2559205</v>
      </c>
      <c r="C8" s="79">
        <f>상여금!F7</f>
        <v>319900</v>
      </c>
      <c r="D8" s="79">
        <f>제수당!G19</f>
        <v>148081</v>
      </c>
      <c r="E8" s="79">
        <f t="shared" si="1"/>
        <v>3027186</v>
      </c>
      <c r="F8" s="92" t="str">
        <f t="shared" si="2"/>
        <v>1/12</v>
      </c>
      <c r="G8" s="79">
        <f t="shared" si="0"/>
        <v>252265</v>
      </c>
    </row>
    <row r="9" spans="1:7" ht="24" customHeight="1">
      <c r="A9" s="127" t="str">
        <f>인집!B9</f>
        <v>영선담당</v>
      </c>
      <c r="B9" s="79">
        <f>기본급!E8</f>
        <v>2525138</v>
      </c>
      <c r="C9" s="79">
        <f>상여금!F8</f>
        <v>210428</v>
      </c>
      <c r="D9" s="79">
        <f>제수당!G24</f>
        <v>140696</v>
      </c>
      <c r="E9" s="79">
        <f t="shared" si="1"/>
        <v>2876262</v>
      </c>
      <c r="F9" s="92" t="str">
        <f t="shared" si="2"/>
        <v>1/12</v>
      </c>
      <c r="G9" s="79">
        <f t="shared" si="0"/>
        <v>239688</v>
      </c>
    </row>
    <row r="10" spans="1:7" ht="24" customHeight="1">
      <c r="A10" s="127" t="str">
        <f>인집!B10</f>
        <v>조경담당</v>
      </c>
      <c r="B10" s="79">
        <f>기본급!E9</f>
        <v>2525138</v>
      </c>
      <c r="C10" s="79">
        <f>상여금!F9</f>
        <v>210428</v>
      </c>
      <c r="D10" s="79">
        <f>제수당!G29</f>
        <v>140696</v>
      </c>
      <c r="E10" s="79">
        <f t="shared" ref="E10:E14" si="3">SUM(B10:D10)</f>
        <v>2876262</v>
      </c>
      <c r="F10" s="92" t="str">
        <f t="shared" si="2"/>
        <v>1/12</v>
      </c>
      <c r="G10" s="79">
        <f t="shared" ref="G10:G14" si="4">INT(E10/12)</f>
        <v>239688</v>
      </c>
    </row>
    <row r="11" spans="1:7" ht="24" customHeight="1">
      <c r="A11" s="127" t="str">
        <f>인집!B11</f>
        <v>미화반장</v>
      </c>
      <c r="B11" s="79">
        <f>기본급!E10</f>
        <v>1799908</v>
      </c>
      <c r="C11" s="79">
        <f>상여금!F10</f>
        <v>299984</v>
      </c>
      <c r="D11" s="79">
        <f>제수당!G34</f>
        <v>100470</v>
      </c>
      <c r="E11" s="79">
        <f t="shared" si="3"/>
        <v>2200362</v>
      </c>
      <c r="F11" s="92" t="str">
        <f t="shared" si="2"/>
        <v>1/12</v>
      </c>
      <c r="G11" s="79">
        <f t="shared" si="4"/>
        <v>183363</v>
      </c>
    </row>
    <row r="12" spans="1:7" ht="24" customHeight="1">
      <c r="A12" s="127" t="str">
        <f>인집!B12</f>
        <v>미화원(남·여)</v>
      </c>
      <c r="B12" s="79">
        <f>기본급!E11</f>
        <v>7199632</v>
      </c>
      <c r="C12" s="79">
        <f>상여금!F11</f>
        <v>899954</v>
      </c>
      <c r="D12" s="79">
        <f>제수당!G39</f>
        <v>555474</v>
      </c>
      <c r="E12" s="79">
        <f t="shared" si="3"/>
        <v>8655060</v>
      </c>
      <c r="F12" s="92" t="str">
        <f t="shared" si="2"/>
        <v>1/12</v>
      </c>
      <c r="G12" s="79">
        <f t="shared" si="4"/>
        <v>721255</v>
      </c>
    </row>
    <row r="13" spans="1:7" ht="24" customHeight="1">
      <c r="A13" s="127" t="str">
        <f>인집!B13</f>
        <v>경비반장</v>
      </c>
      <c r="B13" s="79">
        <f>기본급!E12</f>
        <v>1799908</v>
      </c>
      <c r="C13" s="79">
        <f>상여금!F12</f>
        <v>299984</v>
      </c>
      <c r="D13" s="79">
        <f>제수당!G44</f>
        <v>414031</v>
      </c>
      <c r="E13" s="79">
        <f t="shared" si="3"/>
        <v>2513923</v>
      </c>
      <c r="F13" s="92" t="str">
        <f t="shared" si="2"/>
        <v>1/12</v>
      </c>
      <c r="G13" s="79">
        <f t="shared" si="4"/>
        <v>209493</v>
      </c>
    </row>
    <row r="14" spans="1:7" ht="24" customHeight="1">
      <c r="A14" s="127" t="str">
        <f>인집!B14</f>
        <v>경비원</v>
      </c>
      <c r="B14" s="79">
        <f>기본급!E13</f>
        <v>3599816</v>
      </c>
      <c r="C14" s="79">
        <f>상여금!F13</f>
        <v>149992</v>
      </c>
      <c r="D14" s="79">
        <f>제수당!G49</f>
        <v>768881</v>
      </c>
      <c r="E14" s="79">
        <f t="shared" si="3"/>
        <v>4518689</v>
      </c>
      <c r="F14" s="92" t="str">
        <f t="shared" si="2"/>
        <v>1/12</v>
      </c>
      <c r="G14" s="79">
        <f t="shared" si="4"/>
        <v>376557</v>
      </c>
    </row>
    <row r="15" spans="1:7" ht="24" customHeight="1" thickBot="1">
      <c r="A15" s="128"/>
      <c r="B15" s="83"/>
      <c r="C15" s="83"/>
      <c r="D15" s="83"/>
      <c r="E15" s="83"/>
      <c r="F15" s="84"/>
      <c r="G15" s="83"/>
    </row>
    <row r="16" spans="1:7" ht="24" customHeight="1" thickTop="1">
      <c r="A16" s="73" t="s">
        <v>139</v>
      </c>
      <c r="B16" s="86">
        <f>SUM(B6:B15)</f>
        <v>27375865</v>
      </c>
      <c r="C16" s="86">
        <f>SUM(C6:C15)</f>
        <v>3178555</v>
      </c>
      <c r="D16" s="86">
        <f>SUM(D6:D15)</f>
        <v>2573150</v>
      </c>
      <c r="E16" s="86">
        <f>SUM(E6:E15)</f>
        <v>33127570</v>
      </c>
      <c r="F16" s="87"/>
      <c r="G16" s="86">
        <f>SUM(G6:G15)</f>
        <v>2760627</v>
      </c>
    </row>
    <row r="17" spans="1:1" ht="24.95" customHeight="1">
      <c r="A17" s="2" t="s">
        <v>135</v>
      </c>
    </row>
    <row r="18" spans="1:1" ht="24.95" customHeight="1">
      <c r="A18" s="2" t="s">
        <v>136</v>
      </c>
    </row>
    <row r="19" spans="1:1" ht="24.95" customHeight="1">
      <c r="A19" s="2" t="s">
        <v>137</v>
      </c>
    </row>
    <row r="20" spans="1:1" ht="24.95" customHeight="1">
      <c r="A20" s="2" t="s">
        <v>166</v>
      </c>
    </row>
  </sheetData>
  <mergeCells count="5">
    <mergeCell ref="A1:G1"/>
    <mergeCell ref="A4:A5"/>
    <mergeCell ref="B4:E4"/>
    <mergeCell ref="F4:F5"/>
    <mergeCell ref="G4:G5"/>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2.xml><?xml version="1.0" encoding="utf-8"?>
<worksheet xmlns="http://schemas.openxmlformats.org/spreadsheetml/2006/main" xmlns:r="http://schemas.openxmlformats.org/officeDocument/2006/relationships">
  <dimension ref="A1:W24"/>
  <sheetViews>
    <sheetView view="pageBreakPreview" zoomScaleNormal="100" zoomScaleSheetLayoutView="100" workbookViewId="0">
      <selection activeCell="M16" sqref="M16"/>
    </sheetView>
  </sheetViews>
  <sheetFormatPr defaultColWidth="3.625" defaultRowHeight="30" customHeight="1"/>
  <cols>
    <col min="1" max="1" width="3.375" style="1" customWidth="1"/>
    <col min="2" max="16384" width="3.625" style="1"/>
  </cols>
  <sheetData>
    <row r="1" spans="1:23" s="2" customFormat="1" ht="45" customHeight="1">
      <c r="A1" s="165" t="s">
        <v>305</v>
      </c>
      <c r="B1" s="165"/>
      <c r="C1" s="165"/>
      <c r="D1" s="165"/>
      <c r="E1" s="165"/>
      <c r="F1" s="165"/>
      <c r="G1" s="165"/>
      <c r="H1" s="165"/>
      <c r="I1" s="165"/>
      <c r="J1" s="165"/>
      <c r="K1" s="165"/>
      <c r="L1" s="165"/>
      <c r="M1" s="165"/>
      <c r="N1" s="165"/>
      <c r="O1" s="165"/>
      <c r="P1" s="165"/>
      <c r="Q1" s="165"/>
      <c r="R1" s="165"/>
      <c r="S1" s="165"/>
      <c r="T1" s="165"/>
      <c r="U1" s="165"/>
      <c r="V1" s="165"/>
      <c r="W1" s="165"/>
    </row>
    <row r="2" spans="1:23" s="2" customFormat="1" ht="30" customHeight="1"/>
    <row r="3" spans="1:23" s="2" customFormat="1" ht="24.95" customHeight="1">
      <c r="A3" s="3" t="s">
        <v>333</v>
      </c>
    </row>
    <row r="4" spans="1:23" ht="24.95" customHeight="1"/>
    <row r="5" spans="1:23" ht="24.95" customHeight="1"/>
    <row r="6" spans="1:23" ht="45" customHeight="1">
      <c r="A6" s="164" t="s">
        <v>334</v>
      </c>
      <c r="B6" s="164"/>
      <c r="C6" s="164"/>
      <c r="D6" s="164"/>
      <c r="E6" s="164"/>
      <c r="F6" s="164"/>
      <c r="G6" s="164"/>
      <c r="H6" s="164"/>
      <c r="I6" s="164"/>
      <c r="J6" s="164"/>
      <c r="K6" s="164"/>
      <c r="L6" s="164"/>
      <c r="M6" s="164"/>
      <c r="N6" s="164"/>
      <c r="O6" s="164"/>
      <c r="P6" s="164"/>
      <c r="Q6" s="164"/>
      <c r="R6" s="164"/>
      <c r="S6" s="164"/>
      <c r="T6" s="164"/>
      <c r="U6" s="164"/>
      <c r="V6" s="164"/>
      <c r="W6" s="164"/>
    </row>
    <row r="7" spans="1:23" ht="24.95" customHeight="1"/>
    <row r="8" spans="1:23" ht="24.95" customHeight="1"/>
    <row r="9" spans="1:23" ht="30" customHeight="1">
      <c r="A9" s="166" t="s">
        <v>0</v>
      </c>
      <c r="B9" s="166"/>
      <c r="C9" s="166"/>
      <c r="D9" s="166"/>
      <c r="E9" s="166"/>
      <c r="F9" s="166"/>
      <c r="G9" s="166"/>
      <c r="H9" s="166"/>
      <c r="I9" s="166"/>
      <c r="J9" s="166"/>
      <c r="K9" s="166"/>
      <c r="L9" s="166"/>
      <c r="M9" s="166"/>
      <c r="N9" s="166"/>
      <c r="O9" s="166"/>
      <c r="P9" s="166"/>
      <c r="Q9" s="166"/>
      <c r="R9" s="166"/>
      <c r="S9" s="166"/>
      <c r="T9" s="166"/>
      <c r="U9" s="166"/>
      <c r="V9" s="166"/>
      <c r="W9" s="166"/>
    </row>
    <row r="10" spans="1:23" ht="30" customHeight="1">
      <c r="A10" s="167" t="s">
        <v>1</v>
      </c>
      <c r="B10" s="167"/>
      <c r="C10" s="167"/>
      <c r="D10" s="167"/>
      <c r="E10" s="167"/>
      <c r="F10" s="167"/>
      <c r="G10" s="167" t="s">
        <v>2</v>
      </c>
      <c r="H10" s="167"/>
      <c r="I10" s="167"/>
      <c r="J10" s="167"/>
      <c r="K10" s="167" t="s">
        <v>3</v>
      </c>
      <c r="L10" s="167"/>
      <c r="M10" s="167" t="s">
        <v>4</v>
      </c>
      <c r="N10" s="167"/>
      <c r="O10" s="167"/>
      <c r="P10" s="167"/>
      <c r="Q10" s="167" t="s">
        <v>290</v>
      </c>
      <c r="R10" s="167"/>
      <c r="S10" s="167"/>
      <c r="T10" s="167"/>
      <c r="U10" s="167" t="s">
        <v>5</v>
      </c>
      <c r="V10" s="167"/>
      <c r="W10" s="167"/>
    </row>
    <row r="11" spans="1:23" ht="60" customHeight="1">
      <c r="A11" s="162" t="s">
        <v>393</v>
      </c>
      <c r="B11" s="163"/>
      <c r="C11" s="163"/>
      <c r="D11" s="163"/>
      <c r="E11" s="163"/>
      <c r="F11" s="163"/>
      <c r="G11" s="163" t="s">
        <v>335</v>
      </c>
      <c r="H11" s="163"/>
      <c r="I11" s="163"/>
      <c r="J11" s="163"/>
      <c r="K11" s="163" t="s">
        <v>6</v>
      </c>
      <c r="L11" s="163"/>
      <c r="M11" s="168">
        <f>원가!E29</f>
        <v>51832000</v>
      </c>
      <c r="N11" s="168"/>
      <c r="O11" s="168"/>
      <c r="P11" s="168"/>
      <c r="Q11" s="168">
        <f>M11*12</f>
        <v>621984000</v>
      </c>
      <c r="R11" s="168"/>
      <c r="S11" s="168"/>
      <c r="T11" s="168"/>
      <c r="U11" s="162" t="s">
        <v>387</v>
      </c>
      <c r="V11" s="163"/>
      <c r="W11" s="163"/>
    </row>
    <row r="12" spans="1:23" ht="24.95" customHeight="1">
      <c r="A12" s="4" t="s">
        <v>7</v>
      </c>
    </row>
    <row r="13" spans="1:23" ht="24.95" customHeight="1"/>
    <row r="14" spans="1:23" ht="24.95" customHeight="1"/>
    <row r="15" spans="1:23" ht="24.95" customHeight="1"/>
    <row r="16" spans="1:23" ht="24.95" customHeight="1"/>
    <row r="17" spans="14:23" ht="24.95" customHeight="1">
      <c r="N17" s="5"/>
      <c r="O17" s="5"/>
      <c r="P17" s="5"/>
      <c r="Q17" s="5"/>
      <c r="R17" s="5"/>
      <c r="S17" s="5"/>
      <c r="T17" s="5"/>
      <c r="U17" s="5"/>
      <c r="V17" s="5"/>
      <c r="W17" s="5" t="s">
        <v>332</v>
      </c>
    </row>
    <row r="18" spans="14:23" ht="24.95" customHeight="1">
      <c r="N18" s="5"/>
      <c r="O18" s="5"/>
      <c r="P18" s="5"/>
      <c r="Q18" s="5"/>
      <c r="R18" s="5"/>
      <c r="S18" s="5"/>
      <c r="T18" s="5"/>
      <c r="U18" s="5"/>
      <c r="V18" s="5"/>
      <c r="W18" s="5"/>
    </row>
    <row r="19" spans="14:23" ht="24.95" customHeight="1">
      <c r="N19" s="160" t="s">
        <v>8</v>
      </c>
      <c r="O19" s="160"/>
      <c r="P19" s="160"/>
      <c r="Q19" s="160"/>
      <c r="R19" s="160"/>
      <c r="S19" s="161" t="s">
        <v>9</v>
      </c>
      <c r="T19" s="161"/>
      <c r="U19" s="161"/>
      <c r="V19" s="161"/>
      <c r="W19" s="161"/>
    </row>
    <row r="20" spans="14:23" ht="24.95" customHeight="1">
      <c r="N20" s="6"/>
      <c r="O20" s="6"/>
      <c r="P20" s="6"/>
      <c r="Q20" s="6"/>
      <c r="R20" s="6"/>
      <c r="S20" s="7"/>
      <c r="T20" s="7"/>
      <c r="U20" s="7"/>
      <c r="V20" s="7"/>
      <c r="W20" s="7"/>
    </row>
    <row r="21" spans="14:23" ht="24.95" customHeight="1">
      <c r="N21" s="160" t="s">
        <v>10</v>
      </c>
      <c r="O21" s="160"/>
      <c r="P21" s="160"/>
      <c r="Q21" s="160"/>
      <c r="R21" s="160"/>
      <c r="S21" s="161" t="s">
        <v>11</v>
      </c>
      <c r="T21" s="161"/>
      <c r="U21" s="161"/>
      <c r="V21" s="161"/>
      <c r="W21" s="161"/>
    </row>
    <row r="22" spans="14:23" ht="24.95" customHeight="1">
      <c r="N22" s="6"/>
      <c r="O22" s="6"/>
      <c r="P22" s="6"/>
      <c r="Q22" s="6"/>
      <c r="R22" s="6"/>
      <c r="S22" s="7"/>
      <c r="T22" s="7"/>
      <c r="U22" s="7"/>
      <c r="V22" s="7"/>
      <c r="W22" s="7"/>
    </row>
    <row r="23" spans="14:23" ht="24.95" customHeight="1">
      <c r="N23" s="160" t="s">
        <v>12</v>
      </c>
      <c r="O23" s="160"/>
      <c r="P23" s="160"/>
      <c r="Q23" s="160"/>
      <c r="R23" s="160"/>
      <c r="S23" s="161" t="s">
        <v>13</v>
      </c>
      <c r="T23" s="161"/>
      <c r="U23" s="161"/>
      <c r="V23" s="161"/>
      <c r="W23" s="161"/>
    </row>
    <row r="24" spans="14:23" ht="24.95" customHeight="1"/>
  </sheetData>
  <mergeCells count="21">
    <mergeCell ref="U11:W11"/>
    <mergeCell ref="A6:W6"/>
    <mergeCell ref="A1:W1"/>
    <mergeCell ref="A9:W9"/>
    <mergeCell ref="A10:F10"/>
    <mergeCell ref="G10:J10"/>
    <mergeCell ref="K10:L10"/>
    <mergeCell ref="U10:W10"/>
    <mergeCell ref="Q10:T10"/>
    <mergeCell ref="M10:P10"/>
    <mergeCell ref="A11:F11"/>
    <mergeCell ref="G11:J11"/>
    <mergeCell ref="K11:L11"/>
    <mergeCell ref="M11:P11"/>
    <mergeCell ref="Q11:T11"/>
    <mergeCell ref="N19:R19"/>
    <mergeCell ref="S19:W19"/>
    <mergeCell ref="N21:R21"/>
    <mergeCell ref="S21:W21"/>
    <mergeCell ref="N23:R23"/>
    <mergeCell ref="S23:W23"/>
  </mergeCells>
  <phoneticPr fontId="4" type="noConversion"/>
  <pageMargins left="0.59055118110236227" right="0.59055118110236227" top="1.0236220472440944" bottom="0.70866141732283472" header="0.70866141732283472" footer="0.51181102362204722"/>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A1:H27"/>
  <sheetViews>
    <sheetView view="pageBreakPreview" topLeftCell="A4" zoomScaleNormal="100" zoomScaleSheetLayoutView="100" workbookViewId="0">
      <selection activeCell="I18" sqref="I18"/>
    </sheetView>
  </sheetViews>
  <sheetFormatPr defaultRowHeight="24.95" customHeight="1"/>
  <cols>
    <col min="1" max="3" width="15.625" style="2" customWidth="1"/>
    <col min="4" max="4" width="25.625" style="2" customWidth="1"/>
    <col min="5" max="5" width="10.625" style="2" customWidth="1"/>
    <col min="6" max="6" width="9" style="2"/>
    <col min="7" max="7" width="10.625" style="2" customWidth="1"/>
    <col min="8" max="8" width="9" style="2" customWidth="1"/>
    <col min="9" max="16384" width="9" style="2"/>
  </cols>
  <sheetData>
    <row r="1" spans="1:8" ht="39.950000000000003" customHeight="1">
      <c r="A1" s="165" t="s">
        <v>167</v>
      </c>
      <c r="B1" s="165"/>
      <c r="C1" s="165"/>
      <c r="D1" s="165"/>
      <c r="E1" s="165"/>
    </row>
    <row r="2" spans="1:8" ht="15" customHeight="1"/>
    <row r="3" spans="1:8" ht="24.95" customHeight="1">
      <c r="A3" s="24" t="str">
        <f>원가!A3</f>
        <v>▣ 건   명 : 경기상상캠퍼스 시설관리용역(시설, 미화, 경비)</v>
      </c>
      <c r="B3" s="24"/>
      <c r="E3" s="43" t="s">
        <v>182</v>
      </c>
    </row>
    <row r="4" spans="1:8" ht="30" customHeight="1">
      <c r="A4" s="66" t="s">
        <v>158</v>
      </c>
      <c r="B4" s="66" t="s">
        <v>168</v>
      </c>
      <c r="C4" s="66" t="s">
        <v>170</v>
      </c>
      <c r="D4" s="245" t="s">
        <v>176</v>
      </c>
      <c r="E4" s="245"/>
    </row>
    <row r="5" spans="1:8" ht="24.95" customHeight="1">
      <c r="A5" s="127" t="s">
        <v>356</v>
      </c>
      <c r="B5" s="68" t="s">
        <v>399</v>
      </c>
      <c r="C5" s="38">
        <f>ROUND(G5*H5,0)</f>
        <v>13435</v>
      </c>
      <c r="D5" s="248"/>
      <c r="E5" s="249"/>
      <c r="G5" s="65">
        <f>C23</f>
        <v>13435</v>
      </c>
      <c r="H5" s="63">
        <v>1</v>
      </c>
    </row>
    <row r="6" spans="1:8" ht="24.95" customHeight="1">
      <c r="A6" s="127" t="s">
        <v>358</v>
      </c>
      <c r="B6" s="68" t="s">
        <v>179</v>
      </c>
      <c r="C6" s="38">
        <f t="shared" ref="C6:C8" si="0">ROUND(G6*H6,0)</f>
        <v>12245</v>
      </c>
      <c r="D6" s="247"/>
      <c r="E6" s="247"/>
      <c r="G6" s="65">
        <f>C24</f>
        <v>12245</v>
      </c>
      <c r="H6" s="63">
        <v>1</v>
      </c>
    </row>
    <row r="7" spans="1:8" ht="24.95" customHeight="1">
      <c r="A7" s="127" t="s">
        <v>361</v>
      </c>
      <c r="B7" s="68" t="s">
        <v>179</v>
      </c>
      <c r="C7" s="38">
        <f t="shared" si="0"/>
        <v>12245</v>
      </c>
      <c r="D7" s="247"/>
      <c r="E7" s="247"/>
      <c r="G7" s="65">
        <f>C24</f>
        <v>12245</v>
      </c>
      <c r="H7" s="63">
        <v>1</v>
      </c>
    </row>
    <row r="8" spans="1:8" ht="24.95" customHeight="1">
      <c r="A8" s="127" t="s">
        <v>363</v>
      </c>
      <c r="B8" s="68" t="s">
        <v>397</v>
      </c>
      <c r="C8" s="38">
        <f t="shared" si="0"/>
        <v>12082</v>
      </c>
      <c r="D8" s="247"/>
      <c r="E8" s="247"/>
      <c r="G8" s="65">
        <f>C25</f>
        <v>12082</v>
      </c>
      <c r="H8" s="63">
        <v>1</v>
      </c>
    </row>
    <row r="9" spans="1:8" ht="24.95" customHeight="1">
      <c r="A9" s="127" t="s">
        <v>365</v>
      </c>
      <c r="B9" s="68" t="s">
        <v>397</v>
      </c>
      <c r="C9" s="38">
        <f t="shared" ref="C9:C12" si="1">ROUND(G9*H9,0)</f>
        <v>12082</v>
      </c>
      <c r="D9" s="247"/>
      <c r="E9" s="247"/>
      <c r="G9" s="65">
        <f>C25</f>
        <v>12082</v>
      </c>
      <c r="H9" s="63">
        <v>1</v>
      </c>
    </row>
    <row r="10" spans="1:8" ht="24.95" customHeight="1">
      <c r="A10" s="127" t="s">
        <v>370</v>
      </c>
      <c r="B10" s="68" t="s">
        <v>178</v>
      </c>
      <c r="C10" s="38">
        <f t="shared" si="1"/>
        <v>8612</v>
      </c>
      <c r="D10" s="247"/>
      <c r="E10" s="247"/>
      <c r="G10" s="65">
        <f>C26</f>
        <v>8612</v>
      </c>
      <c r="H10" s="63">
        <v>1</v>
      </c>
    </row>
    <row r="11" spans="1:8" ht="24.95" customHeight="1">
      <c r="A11" s="127" t="s">
        <v>388</v>
      </c>
      <c r="B11" s="68" t="s">
        <v>178</v>
      </c>
      <c r="C11" s="38">
        <f t="shared" si="1"/>
        <v>8612</v>
      </c>
      <c r="D11" s="247"/>
      <c r="E11" s="247"/>
      <c r="G11" s="65">
        <f>C26</f>
        <v>8612</v>
      </c>
      <c r="H11" s="63">
        <v>1</v>
      </c>
    </row>
    <row r="12" spans="1:8" ht="24.95" customHeight="1">
      <c r="A12" s="127" t="s">
        <v>372</v>
      </c>
      <c r="B12" s="68" t="s">
        <v>178</v>
      </c>
      <c r="C12" s="38">
        <f t="shared" si="1"/>
        <v>8612</v>
      </c>
      <c r="D12" s="247"/>
      <c r="E12" s="247"/>
      <c r="G12" s="65">
        <f>C26</f>
        <v>8612</v>
      </c>
      <c r="H12" s="63">
        <v>1</v>
      </c>
    </row>
    <row r="13" spans="1:8" ht="24.95" customHeight="1">
      <c r="A13" s="127" t="s">
        <v>317</v>
      </c>
      <c r="B13" s="68" t="s">
        <v>178</v>
      </c>
      <c r="C13" s="38">
        <f t="shared" ref="C13" si="2">ROUND(G13*H13,0)</f>
        <v>8612</v>
      </c>
      <c r="D13" s="247"/>
      <c r="E13" s="247"/>
      <c r="G13" s="65">
        <f>C26</f>
        <v>8612</v>
      </c>
      <c r="H13" s="63">
        <v>1</v>
      </c>
    </row>
    <row r="14" spans="1:8" ht="24.95" customHeight="1">
      <c r="A14" s="2" t="s">
        <v>378</v>
      </c>
    </row>
    <row r="15" spans="1:8" ht="24.95" customHeight="1">
      <c r="A15" s="2" t="s">
        <v>169</v>
      </c>
    </row>
    <row r="16" spans="1:8" ht="24.95" customHeight="1">
      <c r="A16" s="2" t="s">
        <v>375</v>
      </c>
    </row>
    <row r="17" spans="1:7" ht="24.95" customHeight="1">
      <c r="A17" s="2" t="s">
        <v>376</v>
      </c>
    </row>
    <row r="18" spans="1:7" ht="24.95" customHeight="1">
      <c r="A18" s="2" t="s">
        <v>377</v>
      </c>
    </row>
    <row r="19" spans="1:7" ht="24.95" customHeight="1">
      <c r="A19" s="2" t="s">
        <v>474</v>
      </c>
    </row>
    <row r="20" spans="1:7" ht="24.95" customHeight="1">
      <c r="A20" s="67" t="s">
        <v>379</v>
      </c>
    </row>
    <row r="21" spans="1:7" ht="20.100000000000001" customHeight="1">
      <c r="A21" s="245" t="s">
        <v>171</v>
      </c>
      <c r="B21" s="245" t="s">
        <v>172</v>
      </c>
      <c r="C21" s="245"/>
      <c r="D21" s="245" t="s">
        <v>175</v>
      </c>
      <c r="E21" s="245"/>
    </row>
    <row r="22" spans="1:7" ht="20.100000000000001" customHeight="1">
      <c r="A22" s="245"/>
      <c r="B22" s="66" t="s">
        <v>173</v>
      </c>
      <c r="C22" s="66" t="s">
        <v>174</v>
      </c>
      <c r="D22" s="245"/>
      <c r="E22" s="245"/>
    </row>
    <row r="23" spans="1:7" ht="24.95" customHeight="1">
      <c r="A23" s="68" t="s">
        <v>400</v>
      </c>
      <c r="B23" s="38">
        <v>107480</v>
      </c>
      <c r="C23" s="38">
        <f>ROUND(B23/8,0)</f>
        <v>13435</v>
      </c>
      <c r="D23" s="250" t="s">
        <v>180</v>
      </c>
      <c r="E23" s="250"/>
      <c r="G23" s="63">
        <v>121</v>
      </c>
    </row>
    <row r="24" spans="1:7" ht="24.95" customHeight="1">
      <c r="A24" s="68" t="s">
        <v>398</v>
      </c>
      <c r="B24" s="38">
        <v>97959</v>
      </c>
      <c r="C24" s="38">
        <f t="shared" ref="C24:C26" si="3">ROUND(B24/8,0)</f>
        <v>12245</v>
      </c>
      <c r="D24" s="250" t="s">
        <v>181</v>
      </c>
      <c r="E24" s="250"/>
      <c r="G24" s="63">
        <v>122</v>
      </c>
    </row>
    <row r="25" spans="1:7" ht="24.95" customHeight="1">
      <c r="A25" s="68" t="s">
        <v>397</v>
      </c>
      <c r="B25" s="38">
        <v>96656</v>
      </c>
      <c r="C25" s="38">
        <f t="shared" si="3"/>
        <v>12082</v>
      </c>
      <c r="D25" s="250" t="s">
        <v>181</v>
      </c>
      <c r="E25" s="250"/>
      <c r="G25" s="63">
        <v>136</v>
      </c>
    </row>
    <row r="26" spans="1:7" ht="24.95" customHeight="1">
      <c r="A26" s="68" t="s">
        <v>178</v>
      </c>
      <c r="B26" s="38">
        <v>68899</v>
      </c>
      <c r="C26" s="38">
        <f t="shared" si="3"/>
        <v>8612</v>
      </c>
      <c r="D26" s="250" t="s">
        <v>181</v>
      </c>
      <c r="E26" s="250"/>
      <c r="G26" s="63">
        <v>135</v>
      </c>
    </row>
    <row r="27" spans="1:7" ht="24.95" customHeight="1">
      <c r="A27" s="2" t="s">
        <v>177</v>
      </c>
    </row>
  </sheetData>
  <mergeCells count="18">
    <mergeCell ref="D9:E9"/>
    <mergeCell ref="D10:E10"/>
    <mergeCell ref="D11:E11"/>
    <mergeCell ref="D12:E12"/>
    <mergeCell ref="D13:E13"/>
    <mergeCell ref="A21:A22"/>
    <mergeCell ref="D23:E23"/>
    <mergeCell ref="D24:E24"/>
    <mergeCell ref="D25:E25"/>
    <mergeCell ref="D26:E26"/>
    <mergeCell ref="B21:C21"/>
    <mergeCell ref="D21:E22"/>
    <mergeCell ref="D8:E8"/>
    <mergeCell ref="A1:E1"/>
    <mergeCell ref="D4:E4"/>
    <mergeCell ref="D5:E5"/>
    <mergeCell ref="D6:E6"/>
    <mergeCell ref="D7:E7"/>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21.xml><?xml version="1.0" encoding="utf-8"?>
<worksheet xmlns="http://schemas.openxmlformats.org/spreadsheetml/2006/main" xmlns:r="http://schemas.openxmlformats.org/officeDocument/2006/relationships">
  <dimension ref="A1:J26"/>
  <sheetViews>
    <sheetView view="pageBreakPreview" zoomScaleNormal="100" zoomScaleSheetLayoutView="100" workbookViewId="0">
      <selection activeCell="I18" sqref="I18"/>
    </sheetView>
  </sheetViews>
  <sheetFormatPr defaultRowHeight="24.95" customHeight="1"/>
  <cols>
    <col min="1" max="1" width="15.625" style="2" customWidth="1"/>
    <col min="2" max="4" width="9.625" style="2" customWidth="1"/>
    <col min="5" max="5" width="10.625" style="2" customWidth="1"/>
    <col min="6" max="6" width="7.625" style="2" customWidth="1"/>
    <col min="7" max="7" width="9.625" style="2" customWidth="1"/>
    <col min="8" max="8" width="10.625" style="2" customWidth="1"/>
    <col min="9" max="9" width="9" style="2"/>
    <col min="10" max="10" width="10.625" style="2" customWidth="1"/>
    <col min="11" max="11" width="9" style="2" customWidth="1"/>
    <col min="12" max="16384" width="9" style="2"/>
  </cols>
  <sheetData>
    <row r="1" spans="1:10" ht="39.950000000000003" customHeight="1">
      <c r="A1" s="165" t="s">
        <v>189</v>
      </c>
      <c r="B1" s="165"/>
      <c r="C1" s="165"/>
      <c r="D1" s="165"/>
      <c r="E1" s="165"/>
      <c r="F1" s="165"/>
      <c r="G1" s="165"/>
      <c r="H1" s="165"/>
    </row>
    <row r="2" spans="1:10" ht="15" customHeight="1"/>
    <row r="3" spans="1:10" ht="24.95" customHeight="1">
      <c r="A3" s="24" t="str">
        <f>원가!A3</f>
        <v>▣ 건   명 : 경기상상캠퍼스 시설관리용역(시설, 미화, 경비)</v>
      </c>
      <c r="H3" s="43" t="s">
        <v>206</v>
      </c>
    </row>
    <row r="4" spans="1:10" s="20" customFormat="1" ht="30" customHeight="1">
      <c r="A4" s="116" t="s">
        <v>190</v>
      </c>
      <c r="B4" s="117" t="s">
        <v>200</v>
      </c>
      <c r="C4" s="117" t="s">
        <v>201</v>
      </c>
      <c r="D4" s="117" t="s">
        <v>202</v>
      </c>
      <c r="E4" s="116" t="s">
        <v>106</v>
      </c>
      <c r="F4" s="117" t="s">
        <v>203</v>
      </c>
      <c r="G4" s="117" t="s">
        <v>204</v>
      </c>
      <c r="H4" s="118" t="s">
        <v>205</v>
      </c>
    </row>
    <row r="5" spans="1:10" s="20" customFormat="1" ht="24.95" customHeight="1">
      <c r="A5" s="129" t="str">
        <f>인집!B6</f>
        <v>시설반장</v>
      </c>
      <c r="B5" s="108">
        <f>인집!C6</f>
        <v>2807915</v>
      </c>
      <c r="C5" s="108">
        <f>상여금!F5</f>
        <v>467985</v>
      </c>
      <c r="D5" s="108"/>
      <c r="E5" s="108">
        <f>SUM(B5:D5)</f>
        <v>3275900</v>
      </c>
      <c r="F5" s="119">
        <f>기본급!C5</f>
        <v>209</v>
      </c>
      <c r="G5" s="108">
        <f>INT(E5/F5)</f>
        <v>15674</v>
      </c>
      <c r="H5" s="108">
        <f>G5*8</f>
        <v>125392</v>
      </c>
    </row>
    <row r="6" spans="1:10" s="20" customFormat="1" ht="24.95" customHeight="1">
      <c r="A6" s="129" t="str">
        <f>인집!B7</f>
        <v>기계담당</v>
      </c>
      <c r="B6" s="108">
        <f>인집!C7</f>
        <v>2559205</v>
      </c>
      <c r="C6" s="108">
        <f>상여금!F6</f>
        <v>319900</v>
      </c>
      <c r="D6" s="108"/>
      <c r="E6" s="108">
        <f t="shared" ref="E6:E8" si="0">SUM(B6:D6)</f>
        <v>2879105</v>
      </c>
      <c r="F6" s="119">
        <f>기본급!C6</f>
        <v>209</v>
      </c>
      <c r="G6" s="108">
        <f t="shared" ref="G6:G8" si="1">INT(E6/F6)</f>
        <v>13775</v>
      </c>
      <c r="H6" s="108">
        <f t="shared" ref="H6" si="2">G6*8</f>
        <v>110200</v>
      </c>
    </row>
    <row r="7" spans="1:10" s="20" customFormat="1" ht="24.95" customHeight="1">
      <c r="A7" s="129" t="str">
        <f>인집!B8</f>
        <v>전기담당</v>
      </c>
      <c r="B7" s="108">
        <f>인집!C8</f>
        <v>2559205</v>
      </c>
      <c r="C7" s="108">
        <f>상여금!F7</f>
        <v>319900</v>
      </c>
      <c r="D7" s="108"/>
      <c r="E7" s="108">
        <f t="shared" si="0"/>
        <v>2879105</v>
      </c>
      <c r="F7" s="119">
        <f>기본급!C7</f>
        <v>209</v>
      </c>
      <c r="G7" s="108">
        <f t="shared" si="1"/>
        <v>13775</v>
      </c>
      <c r="H7" s="108">
        <f>G7*8</f>
        <v>110200</v>
      </c>
    </row>
    <row r="8" spans="1:10" s="20" customFormat="1" ht="24.95" customHeight="1">
      <c r="A8" s="129" t="str">
        <f>인집!B9</f>
        <v>영선담당</v>
      </c>
      <c r="B8" s="108">
        <f>인집!C9</f>
        <v>2525138</v>
      </c>
      <c r="C8" s="108">
        <f>상여금!F8</f>
        <v>210428</v>
      </c>
      <c r="D8" s="108"/>
      <c r="E8" s="108">
        <f t="shared" si="0"/>
        <v>2735566</v>
      </c>
      <c r="F8" s="119">
        <f>기본급!C8</f>
        <v>209</v>
      </c>
      <c r="G8" s="108">
        <f t="shared" si="1"/>
        <v>13088</v>
      </c>
      <c r="H8" s="108">
        <f t="shared" ref="H8:H11" si="3">G8*8</f>
        <v>104704</v>
      </c>
    </row>
    <row r="9" spans="1:10" s="20" customFormat="1" ht="24.95" customHeight="1">
      <c r="A9" s="129" t="str">
        <f>인집!B10</f>
        <v>조경담당</v>
      </c>
      <c r="B9" s="108">
        <f>인집!C10</f>
        <v>2525138</v>
      </c>
      <c r="C9" s="108">
        <f>상여금!F9</f>
        <v>210428</v>
      </c>
      <c r="D9" s="108"/>
      <c r="E9" s="108">
        <f t="shared" ref="E9:E13" si="4">SUM(B9:D9)</f>
        <v>2735566</v>
      </c>
      <c r="F9" s="119">
        <f>기본급!C9</f>
        <v>209</v>
      </c>
      <c r="G9" s="108">
        <f t="shared" ref="G9:G13" si="5">INT(E9/F9)</f>
        <v>13088</v>
      </c>
      <c r="H9" s="108">
        <f t="shared" si="3"/>
        <v>104704</v>
      </c>
    </row>
    <row r="10" spans="1:10" s="20" customFormat="1" ht="24.95" customHeight="1">
      <c r="A10" s="129" t="str">
        <f>인집!B11</f>
        <v>미화반장</v>
      </c>
      <c r="B10" s="108">
        <f>인집!C11</f>
        <v>1799908</v>
      </c>
      <c r="C10" s="108">
        <f>상여금!F10</f>
        <v>299984</v>
      </c>
      <c r="D10" s="108"/>
      <c r="E10" s="108">
        <f t="shared" si="4"/>
        <v>2099892</v>
      </c>
      <c r="F10" s="119">
        <f>기본급!C10</f>
        <v>209</v>
      </c>
      <c r="G10" s="108">
        <f t="shared" si="5"/>
        <v>10047</v>
      </c>
      <c r="H10" s="108">
        <f t="shared" si="3"/>
        <v>80376</v>
      </c>
    </row>
    <row r="11" spans="1:10" s="20" customFormat="1" ht="24.95" customHeight="1">
      <c r="A11" s="129" t="str">
        <f>인집!B12</f>
        <v>미화원(남·여)</v>
      </c>
      <c r="B11" s="108">
        <f>인집!C12</f>
        <v>1799908</v>
      </c>
      <c r="C11" s="108">
        <f>상여금!F11</f>
        <v>899954</v>
      </c>
      <c r="D11" s="108"/>
      <c r="E11" s="108">
        <f t="shared" si="4"/>
        <v>2699862</v>
      </c>
      <c r="F11" s="119">
        <f>기본급!C11</f>
        <v>209</v>
      </c>
      <c r="G11" s="108">
        <f t="shared" si="5"/>
        <v>12918</v>
      </c>
      <c r="H11" s="108">
        <f t="shared" si="3"/>
        <v>103344</v>
      </c>
    </row>
    <row r="12" spans="1:10" s="20" customFormat="1" ht="24.95" customHeight="1">
      <c r="A12" s="129" t="str">
        <f>인집!B13</f>
        <v>경비반장</v>
      </c>
      <c r="B12" s="108">
        <f>인집!C13</f>
        <v>1799908</v>
      </c>
      <c r="C12" s="108">
        <f>상여금!F12</f>
        <v>299984</v>
      </c>
      <c r="D12" s="108"/>
      <c r="E12" s="108">
        <f t="shared" si="4"/>
        <v>2099892</v>
      </c>
      <c r="F12" s="119">
        <f>기본급!C12</f>
        <v>209</v>
      </c>
      <c r="G12" s="108">
        <f t="shared" si="5"/>
        <v>10047</v>
      </c>
      <c r="H12" s="108">
        <f>G12*8</f>
        <v>80376</v>
      </c>
      <c r="J12" s="20">
        <f t="shared" ref="J12:J13" si="6">ROUND(F12/(365/12),1)</f>
        <v>6.9</v>
      </c>
    </row>
    <row r="13" spans="1:10" s="20" customFormat="1" ht="24.95" customHeight="1">
      <c r="A13" s="129" t="str">
        <f>인집!B14</f>
        <v>경비원</v>
      </c>
      <c r="B13" s="108">
        <f>인집!C14</f>
        <v>1799908</v>
      </c>
      <c r="C13" s="108">
        <f>상여금!F13</f>
        <v>149992</v>
      </c>
      <c r="D13" s="108"/>
      <c r="E13" s="108">
        <f t="shared" si="4"/>
        <v>1949900</v>
      </c>
      <c r="F13" s="119">
        <f>기본급!C13</f>
        <v>209</v>
      </c>
      <c r="G13" s="108">
        <f t="shared" si="5"/>
        <v>9329</v>
      </c>
      <c r="H13" s="108">
        <f>G13*8</f>
        <v>74632</v>
      </c>
      <c r="J13" s="20">
        <f t="shared" si="6"/>
        <v>6.9</v>
      </c>
    </row>
    <row r="14" spans="1:10" s="20" customFormat="1" ht="24.95" customHeight="1">
      <c r="A14" s="20" t="s">
        <v>191</v>
      </c>
    </row>
    <row r="15" spans="1:10" s="20" customFormat="1" ht="24.95" customHeight="1">
      <c r="A15" s="20" t="s">
        <v>192</v>
      </c>
    </row>
    <row r="16" spans="1:10" s="20" customFormat="1" ht="24.95" customHeight="1">
      <c r="A16" s="20" t="s">
        <v>199</v>
      </c>
    </row>
    <row r="17" spans="1:1" s="20" customFormat="1" ht="24.95" customHeight="1">
      <c r="A17" s="20" t="s">
        <v>193</v>
      </c>
    </row>
    <row r="18" spans="1:1" s="20" customFormat="1" ht="24.95" customHeight="1">
      <c r="A18" s="20" t="s">
        <v>311</v>
      </c>
    </row>
    <row r="19" spans="1:1" s="20" customFormat="1" ht="24.95" customHeight="1">
      <c r="A19" s="20" t="s">
        <v>466</v>
      </c>
    </row>
    <row r="20" spans="1:1" s="20" customFormat="1" ht="24.95" customHeight="1">
      <c r="A20" s="20" t="s">
        <v>194</v>
      </c>
    </row>
    <row r="21" spans="1:1" s="20" customFormat="1" ht="24.95" customHeight="1">
      <c r="A21" s="20" t="s">
        <v>195</v>
      </c>
    </row>
    <row r="22" spans="1:1" s="20" customFormat="1" ht="24.95" customHeight="1">
      <c r="A22" s="20" t="s">
        <v>433</v>
      </c>
    </row>
    <row r="23" spans="1:1" s="20" customFormat="1" ht="24.95" customHeight="1">
      <c r="A23" s="20" t="s">
        <v>196</v>
      </c>
    </row>
    <row r="24" spans="1:1" s="20" customFormat="1" ht="24.95" customHeight="1">
      <c r="A24" s="20" t="s">
        <v>197</v>
      </c>
    </row>
    <row r="25" spans="1:1" s="20" customFormat="1" ht="24.95" customHeight="1">
      <c r="A25" s="20" t="s">
        <v>198</v>
      </c>
    </row>
    <row r="26" spans="1:1" s="20" customFormat="1" ht="24.95" customHeight="1">
      <c r="A26" s="20" t="s">
        <v>434</v>
      </c>
    </row>
  </sheetData>
  <mergeCells count="1">
    <mergeCell ref="A1:H1"/>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22.xml><?xml version="1.0" encoding="utf-8"?>
<worksheet xmlns="http://schemas.openxmlformats.org/spreadsheetml/2006/main" xmlns:r="http://schemas.openxmlformats.org/officeDocument/2006/relationships">
  <dimension ref="A1:A2"/>
  <sheetViews>
    <sheetView view="pageBreakPreview" zoomScaleNormal="100" zoomScaleSheetLayoutView="100" workbookViewId="0">
      <selection activeCell="I18" sqref="I18"/>
    </sheetView>
  </sheetViews>
  <sheetFormatPr defaultRowHeight="30" customHeight="1"/>
  <cols>
    <col min="1" max="1" width="83.25" style="2" customWidth="1"/>
    <col min="2" max="16384" width="9" style="2"/>
  </cols>
  <sheetData>
    <row r="1" spans="1:1" ht="45" customHeight="1">
      <c r="A1" s="23" t="s">
        <v>224</v>
      </c>
    </row>
    <row r="2" spans="1:1" ht="45" customHeight="1"/>
  </sheetData>
  <phoneticPr fontId="4" type="noConversion"/>
  <pageMargins left="0.59055118110236227" right="0.59055118110236227" top="3.1496062992125986" bottom="6.87" header="0.70866141732283472" footer="0.51181102362204722"/>
  <pageSetup paperSize="9" orientation="portrait" r:id="rId1"/>
</worksheet>
</file>

<file path=xl/worksheets/sheet23.xml><?xml version="1.0" encoding="utf-8"?>
<worksheet xmlns="http://schemas.openxmlformats.org/spreadsheetml/2006/main" xmlns:r="http://schemas.openxmlformats.org/officeDocument/2006/relationships">
  <dimension ref="A1:W14"/>
  <sheetViews>
    <sheetView view="pageBreakPreview" zoomScaleNormal="100" zoomScaleSheetLayoutView="100" workbookViewId="0">
      <selection activeCell="I18" sqref="I18"/>
    </sheetView>
  </sheetViews>
  <sheetFormatPr defaultRowHeight="30" customHeight="1"/>
  <cols>
    <col min="1" max="1" width="83.25" style="1" customWidth="1"/>
    <col min="2" max="16384" width="9" style="1"/>
  </cols>
  <sheetData>
    <row r="1" spans="1:23" s="2" customFormat="1" ht="45" customHeight="1">
      <c r="A1" s="12" t="s">
        <v>217</v>
      </c>
      <c r="B1" s="8"/>
      <c r="C1" s="8"/>
      <c r="D1" s="8"/>
      <c r="E1" s="8"/>
      <c r="F1" s="8"/>
      <c r="G1" s="8"/>
      <c r="H1" s="8"/>
      <c r="I1" s="8"/>
      <c r="J1" s="8"/>
      <c r="K1" s="8"/>
      <c r="L1" s="8"/>
      <c r="M1" s="8"/>
      <c r="N1" s="8"/>
      <c r="O1" s="8"/>
      <c r="P1" s="8"/>
      <c r="Q1" s="8"/>
      <c r="R1" s="8"/>
      <c r="S1" s="8"/>
      <c r="T1" s="8"/>
      <c r="U1" s="8"/>
      <c r="V1" s="8"/>
      <c r="W1" s="8"/>
    </row>
    <row r="3" spans="1:23" s="9" customFormat="1" ht="30" customHeight="1">
      <c r="A3" s="14" t="s">
        <v>218</v>
      </c>
    </row>
    <row r="4" spans="1:23" s="11" customFormat="1" ht="39.950000000000003" customHeight="1">
      <c r="A4" s="10" t="s">
        <v>456</v>
      </c>
    </row>
    <row r="5" spans="1:23" s="9" customFormat="1" ht="20.100000000000001" customHeight="1"/>
    <row r="6" spans="1:23" s="9" customFormat="1" ht="30" customHeight="1">
      <c r="A6" s="14" t="s">
        <v>219</v>
      </c>
    </row>
    <row r="7" spans="1:23" s="9" customFormat="1" ht="30" customHeight="1">
      <c r="A7" s="13" t="s">
        <v>220</v>
      </c>
    </row>
    <row r="8" spans="1:23" s="9" customFormat="1" ht="195" customHeight="1">
      <c r="A8" s="10" t="s">
        <v>326</v>
      </c>
    </row>
    <row r="9" spans="1:23" s="9" customFormat="1" ht="20.100000000000001" hidden="1" customHeight="1"/>
    <row r="10" spans="1:23" s="9" customFormat="1" ht="30" hidden="1" customHeight="1">
      <c r="A10" s="13" t="s">
        <v>221</v>
      </c>
    </row>
    <row r="11" spans="1:23" s="9" customFormat="1" ht="39.950000000000003" hidden="1" customHeight="1">
      <c r="A11" s="10" t="s">
        <v>331</v>
      </c>
    </row>
    <row r="12" spans="1:23" s="9" customFormat="1" ht="20.100000000000001" hidden="1" customHeight="1"/>
    <row r="13" spans="1:23" s="9" customFormat="1" ht="30" hidden="1" customHeight="1">
      <c r="A13" s="13" t="s">
        <v>222</v>
      </c>
    </row>
    <row r="14" spans="1:23" s="9" customFormat="1" ht="39.950000000000003" hidden="1" customHeight="1">
      <c r="A14" s="10" t="s">
        <v>223</v>
      </c>
    </row>
  </sheetData>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24.xml><?xml version="1.0" encoding="utf-8"?>
<worksheet xmlns="http://schemas.openxmlformats.org/spreadsheetml/2006/main" xmlns:r="http://schemas.openxmlformats.org/officeDocument/2006/relationships">
  <dimension ref="A1:E14"/>
  <sheetViews>
    <sheetView view="pageBreakPreview" zoomScaleNormal="100" zoomScaleSheetLayoutView="100" workbookViewId="0">
      <selection activeCell="I18" sqref="I18"/>
    </sheetView>
  </sheetViews>
  <sheetFormatPr defaultRowHeight="24.95" customHeight="1"/>
  <cols>
    <col min="1" max="1" width="8.625" style="2" customWidth="1"/>
    <col min="2" max="2" width="25.625" style="2" customWidth="1"/>
    <col min="3" max="4" width="20.625" style="2" customWidth="1"/>
    <col min="5" max="5" width="7.625" style="2" customWidth="1"/>
    <col min="6" max="6" width="9" style="2"/>
    <col min="7" max="7" width="10.625" style="2" customWidth="1"/>
    <col min="8" max="8" width="9" style="2" customWidth="1"/>
    <col min="9" max="16384" width="9" style="2"/>
  </cols>
  <sheetData>
    <row r="1" spans="1:5" ht="39.950000000000003" customHeight="1">
      <c r="A1" s="165" t="s">
        <v>237</v>
      </c>
      <c r="B1" s="165"/>
      <c r="C1" s="165"/>
      <c r="D1" s="165"/>
      <c r="E1" s="165"/>
    </row>
    <row r="2" spans="1:5" ht="15" customHeight="1"/>
    <row r="3" spans="1:5" ht="24.95" customHeight="1">
      <c r="A3" s="24" t="str">
        <f>원가!A3</f>
        <v>▣ 건   명 : 경기상상캠퍼스 시설관리용역(시설, 미화, 경비)</v>
      </c>
      <c r="E3" s="43" t="s">
        <v>236</v>
      </c>
    </row>
    <row r="4" spans="1:5" ht="30" customHeight="1">
      <c r="A4" s="208" t="s">
        <v>225</v>
      </c>
      <c r="B4" s="208"/>
      <c r="C4" s="48" t="s">
        <v>319</v>
      </c>
      <c r="D4" s="208" t="s">
        <v>226</v>
      </c>
      <c r="E4" s="208"/>
    </row>
    <row r="5" spans="1:5" ht="30" customHeight="1">
      <c r="A5" s="253" t="s">
        <v>227</v>
      </c>
      <c r="B5" s="111" t="s">
        <v>228</v>
      </c>
      <c r="C5" s="38">
        <f>보험집!D17</f>
        <v>530036</v>
      </c>
      <c r="D5" s="250"/>
      <c r="E5" s="250"/>
    </row>
    <row r="6" spans="1:5" ht="30" customHeight="1">
      <c r="A6" s="253"/>
      <c r="B6" s="111" t="s">
        <v>229</v>
      </c>
      <c r="C6" s="38">
        <f>보험집!G17</f>
        <v>1013698</v>
      </c>
      <c r="D6" s="250"/>
      <c r="E6" s="250"/>
    </row>
    <row r="7" spans="1:5" ht="30" customHeight="1">
      <c r="A7" s="253"/>
      <c r="B7" s="111" t="s">
        <v>230</v>
      </c>
      <c r="C7" s="38">
        <f>보험집!J17</f>
        <v>66392</v>
      </c>
      <c r="D7" s="250"/>
      <c r="E7" s="250"/>
    </row>
    <row r="8" spans="1:5" ht="30" customHeight="1">
      <c r="A8" s="253"/>
      <c r="B8" s="111" t="s">
        <v>231</v>
      </c>
      <c r="C8" s="38">
        <f>보험집!M17</f>
        <v>1490736</v>
      </c>
      <c r="D8" s="250"/>
      <c r="E8" s="250"/>
    </row>
    <row r="9" spans="1:5" ht="30" customHeight="1">
      <c r="A9" s="253"/>
      <c r="B9" s="111" t="s">
        <v>232</v>
      </c>
      <c r="C9" s="38">
        <f>보험집!P17</f>
        <v>298144</v>
      </c>
      <c r="D9" s="250"/>
      <c r="E9" s="250"/>
    </row>
    <row r="10" spans="1:5" ht="30" customHeight="1">
      <c r="A10" s="253"/>
      <c r="B10" s="111" t="s">
        <v>233</v>
      </c>
      <c r="C10" s="38">
        <f>보험집!S17</f>
        <v>19873</v>
      </c>
      <c r="D10" s="250"/>
      <c r="E10" s="250"/>
    </row>
    <row r="11" spans="1:5" ht="30" customHeight="1">
      <c r="A11" s="253"/>
      <c r="B11" s="111"/>
      <c r="C11" s="38"/>
      <c r="D11" s="250"/>
      <c r="E11" s="250"/>
    </row>
    <row r="12" spans="1:5" ht="30" customHeight="1" thickBot="1">
      <c r="A12" s="253"/>
      <c r="B12" s="111" t="s">
        <v>234</v>
      </c>
      <c r="C12" s="38">
        <f>SUM(C5:C11)</f>
        <v>3418879</v>
      </c>
      <c r="D12" s="250"/>
      <c r="E12" s="250"/>
    </row>
    <row r="13" spans="1:5" ht="30" customHeight="1" thickTop="1">
      <c r="A13" s="251" t="s">
        <v>235</v>
      </c>
      <c r="B13" s="251"/>
      <c r="C13" s="74">
        <f>C12</f>
        <v>3418879</v>
      </c>
      <c r="D13" s="252"/>
      <c r="E13" s="252"/>
    </row>
    <row r="14" spans="1:5" ht="24.95" customHeight="1">
      <c r="A14" s="2" t="s">
        <v>386</v>
      </c>
    </row>
  </sheetData>
  <mergeCells count="14">
    <mergeCell ref="A1:E1"/>
    <mergeCell ref="A4:B4"/>
    <mergeCell ref="D4:E4"/>
    <mergeCell ref="A5:A12"/>
    <mergeCell ref="D8:E8"/>
    <mergeCell ref="D9:E9"/>
    <mergeCell ref="D10:E10"/>
    <mergeCell ref="D11:E11"/>
    <mergeCell ref="D12:E12"/>
    <mergeCell ref="A13:B13"/>
    <mergeCell ref="D5:E5"/>
    <mergeCell ref="D6:E6"/>
    <mergeCell ref="D7:E7"/>
    <mergeCell ref="D13:E13"/>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25.xml><?xml version="1.0" encoding="utf-8"?>
<worksheet xmlns="http://schemas.openxmlformats.org/spreadsheetml/2006/main" xmlns:r="http://schemas.openxmlformats.org/officeDocument/2006/relationships">
  <dimension ref="A1:X24"/>
  <sheetViews>
    <sheetView view="pageBreakPreview" zoomScale="115" zoomScaleNormal="100" zoomScaleSheetLayoutView="115" workbookViewId="0">
      <selection activeCell="I18" sqref="I18"/>
    </sheetView>
  </sheetViews>
  <sheetFormatPr defaultRowHeight="24.95" customHeight="1"/>
  <cols>
    <col min="1" max="1" width="8.625" style="2" customWidth="1"/>
    <col min="2" max="2" width="6.625" style="2" customWidth="1"/>
    <col min="3" max="3" width="2.625" style="2" customWidth="1"/>
    <col min="4" max="5" width="6.625" style="2" customWidth="1"/>
    <col min="6" max="6" width="2.625" style="2" customWidth="1"/>
    <col min="7" max="8" width="6.625" style="2" customWidth="1"/>
    <col min="9" max="9" width="2.625" style="2" customWidth="1"/>
    <col min="10" max="11" width="6.625" style="2" customWidth="1"/>
    <col min="12" max="12" width="2.625" style="2" customWidth="1"/>
    <col min="13" max="14" width="6.625" style="2" customWidth="1"/>
    <col min="15" max="15" width="2.625" style="2" customWidth="1"/>
    <col min="16" max="17" width="6.625" style="2" customWidth="1"/>
    <col min="18" max="18" width="2.625" style="2" customWidth="1"/>
    <col min="19" max="19" width="6.625" style="2" customWidth="1"/>
    <col min="20" max="20" width="6.625" style="2" hidden="1" customWidth="1"/>
    <col min="21" max="21" width="2.625" style="2" hidden="1" customWidth="1"/>
    <col min="22" max="22" width="6.625" style="2" hidden="1" customWidth="1"/>
    <col min="23" max="24" width="6.625" style="2" customWidth="1"/>
    <col min="25" max="16384" width="9" style="2"/>
  </cols>
  <sheetData>
    <row r="1" spans="1:24" ht="39.950000000000003" customHeight="1">
      <c r="A1" s="165" t="s">
        <v>273</v>
      </c>
      <c r="B1" s="165"/>
      <c r="C1" s="165"/>
      <c r="D1" s="165"/>
      <c r="E1" s="165"/>
      <c r="F1" s="165"/>
      <c r="G1" s="165"/>
      <c r="H1" s="165"/>
      <c r="I1" s="165"/>
      <c r="J1" s="165"/>
      <c r="K1" s="165"/>
      <c r="L1" s="165"/>
      <c r="M1" s="165"/>
      <c r="N1" s="165"/>
      <c r="O1" s="165"/>
      <c r="P1" s="165"/>
      <c r="Q1" s="165"/>
      <c r="R1" s="165"/>
      <c r="S1" s="165"/>
      <c r="T1" s="165"/>
      <c r="U1" s="165"/>
      <c r="V1" s="165"/>
      <c r="W1" s="165"/>
      <c r="X1" s="165"/>
    </row>
    <row r="2" spans="1:24" ht="15" customHeight="1"/>
    <row r="3" spans="1:24" ht="24.95" customHeight="1">
      <c r="A3" s="24" t="str">
        <f>원가!A3</f>
        <v>▣ 건   명 : 경기상상캠퍼스 시설관리용역(시설, 미화, 경비)</v>
      </c>
      <c r="B3" s="24"/>
      <c r="C3" s="24"/>
      <c r="D3" s="24"/>
      <c r="E3" s="24"/>
      <c r="F3" s="24"/>
      <c r="G3" s="24"/>
      <c r="H3" s="24"/>
      <c r="N3" s="24"/>
      <c r="O3" s="24"/>
      <c r="P3" s="24"/>
      <c r="Q3" s="24"/>
      <c r="X3" s="43" t="s">
        <v>272</v>
      </c>
    </row>
    <row r="4" spans="1:24" ht="15" customHeight="1">
      <c r="A4" s="254" t="s">
        <v>117</v>
      </c>
      <c r="B4" s="254" t="s">
        <v>274</v>
      </c>
      <c r="C4" s="254"/>
      <c r="D4" s="254"/>
      <c r="E4" s="254" t="s">
        <v>275</v>
      </c>
      <c r="F4" s="254"/>
      <c r="G4" s="254"/>
      <c r="H4" s="254" t="s">
        <v>276</v>
      </c>
      <c r="I4" s="254"/>
      <c r="J4" s="254"/>
      <c r="K4" s="254" t="s">
        <v>277</v>
      </c>
      <c r="L4" s="254"/>
      <c r="M4" s="254"/>
      <c r="N4" s="254" t="s">
        <v>278</v>
      </c>
      <c r="O4" s="254"/>
      <c r="P4" s="254"/>
      <c r="Q4" s="254" t="s">
        <v>279</v>
      </c>
      <c r="R4" s="254"/>
      <c r="S4" s="254"/>
      <c r="T4" s="254" t="s">
        <v>280</v>
      </c>
      <c r="U4" s="254"/>
      <c r="V4" s="254"/>
      <c r="W4" s="254" t="s">
        <v>123</v>
      </c>
      <c r="X4" s="254"/>
    </row>
    <row r="5" spans="1:24" ht="24.95" customHeight="1">
      <c r="A5" s="254"/>
      <c r="B5" s="132" t="s">
        <v>124</v>
      </c>
      <c r="C5" s="133" t="s">
        <v>125</v>
      </c>
      <c r="D5" s="133" t="s">
        <v>126</v>
      </c>
      <c r="E5" s="132" t="s">
        <v>124</v>
      </c>
      <c r="F5" s="133" t="s">
        <v>125</v>
      </c>
      <c r="G5" s="133" t="s">
        <v>126</v>
      </c>
      <c r="H5" s="132" t="s">
        <v>124</v>
      </c>
      <c r="I5" s="133" t="s">
        <v>125</v>
      </c>
      <c r="J5" s="133" t="s">
        <v>126</v>
      </c>
      <c r="K5" s="132" t="s">
        <v>124</v>
      </c>
      <c r="L5" s="133" t="s">
        <v>125</v>
      </c>
      <c r="M5" s="133" t="s">
        <v>126</v>
      </c>
      <c r="N5" s="132" t="s">
        <v>124</v>
      </c>
      <c r="O5" s="133" t="s">
        <v>125</v>
      </c>
      <c r="P5" s="133" t="s">
        <v>126</v>
      </c>
      <c r="Q5" s="132" t="s">
        <v>124</v>
      </c>
      <c r="R5" s="133" t="s">
        <v>125</v>
      </c>
      <c r="S5" s="133" t="s">
        <v>126</v>
      </c>
      <c r="T5" s="132" t="s">
        <v>124</v>
      </c>
      <c r="U5" s="133" t="s">
        <v>125</v>
      </c>
      <c r="V5" s="133" t="s">
        <v>126</v>
      </c>
      <c r="W5" s="132" t="s">
        <v>124</v>
      </c>
      <c r="X5" s="133" t="s">
        <v>126</v>
      </c>
    </row>
    <row r="6" spans="1:24" s="64" customFormat="1" ht="20.100000000000001" customHeight="1">
      <c r="A6" s="134" t="str">
        <f>기본급!A5</f>
        <v>시설반장</v>
      </c>
      <c r="B6" s="135">
        <f>INT(D6/C6)</f>
        <v>54922</v>
      </c>
      <c r="C6" s="136">
        <f>인집!D6</f>
        <v>1</v>
      </c>
      <c r="D6" s="135">
        <f>산재!G6</f>
        <v>54922</v>
      </c>
      <c r="E6" s="135">
        <f>INT(G6/F6)</f>
        <v>105038</v>
      </c>
      <c r="F6" s="136">
        <f>C6</f>
        <v>1</v>
      </c>
      <c r="G6" s="135">
        <f>건강!G6</f>
        <v>105038</v>
      </c>
      <c r="H6" s="135">
        <f>INT(J6/I6)</f>
        <v>6879</v>
      </c>
      <c r="I6" s="136">
        <f>C6</f>
        <v>1</v>
      </c>
      <c r="J6" s="135">
        <f>노인!G6</f>
        <v>6879</v>
      </c>
      <c r="K6" s="135">
        <f>INT(M6/L6)</f>
        <v>154468</v>
      </c>
      <c r="L6" s="136">
        <f>C6</f>
        <v>1</v>
      </c>
      <c r="M6" s="135">
        <f>연금!G6</f>
        <v>154468</v>
      </c>
      <c r="N6" s="135">
        <f>INT(P6/O6)</f>
        <v>30893</v>
      </c>
      <c r="O6" s="136">
        <f>C6</f>
        <v>1</v>
      </c>
      <c r="P6" s="135">
        <f>고용!G6</f>
        <v>30893</v>
      </c>
      <c r="Q6" s="135">
        <f>INT(S6/R6)</f>
        <v>2059</v>
      </c>
      <c r="R6" s="136">
        <f>C6</f>
        <v>1</v>
      </c>
      <c r="S6" s="135">
        <f>임채!G6</f>
        <v>2059</v>
      </c>
      <c r="T6" s="135">
        <f>INT(V6/U6)</f>
        <v>0</v>
      </c>
      <c r="U6" s="136">
        <f>C6</f>
        <v>1</v>
      </c>
      <c r="V6" s="135"/>
      <c r="W6" s="135">
        <f>B6+E6+H6+K6+N6+Q6+T6</f>
        <v>354259</v>
      </c>
      <c r="X6" s="135">
        <f>D6+G6+J6+M6+P6+S6+V6</f>
        <v>354259</v>
      </c>
    </row>
    <row r="7" spans="1:24" s="64" customFormat="1" ht="20.100000000000001" customHeight="1">
      <c r="A7" s="134" t="str">
        <f>기본급!A6</f>
        <v>기계담당</v>
      </c>
      <c r="B7" s="135">
        <f t="shared" ref="B7:B8" si="0">INT(D7/C7)</f>
        <v>48434</v>
      </c>
      <c r="C7" s="136">
        <f>인집!D7</f>
        <v>1</v>
      </c>
      <c r="D7" s="135">
        <f>산재!G7</f>
        <v>48434</v>
      </c>
      <c r="E7" s="135">
        <f t="shared" ref="E7:E8" si="1">INT(G7/F7)</f>
        <v>92631</v>
      </c>
      <c r="F7" s="136">
        <f t="shared" ref="F7:F8" si="2">C7</f>
        <v>1</v>
      </c>
      <c r="G7" s="135">
        <f>건강!G7</f>
        <v>92631</v>
      </c>
      <c r="H7" s="135">
        <f t="shared" ref="H7:H8" si="3">INT(J7/I7)</f>
        <v>6067</v>
      </c>
      <c r="I7" s="136">
        <f t="shared" ref="I7:I8" si="4">C7</f>
        <v>1</v>
      </c>
      <c r="J7" s="135">
        <f>노인!G7</f>
        <v>6067</v>
      </c>
      <c r="K7" s="135">
        <f t="shared" ref="K7:K8" si="5">INT(M7/L7)</f>
        <v>136223</v>
      </c>
      <c r="L7" s="136">
        <f t="shared" ref="L7:L8" si="6">C7</f>
        <v>1</v>
      </c>
      <c r="M7" s="135">
        <f>연금!G7</f>
        <v>136223</v>
      </c>
      <c r="N7" s="135">
        <f t="shared" ref="N7:N8" si="7">INT(P7/O7)</f>
        <v>27244</v>
      </c>
      <c r="O7" s="136">
        <f t="shared" ref="O7:O8" si="8">C7</f>
        <v>1</v>
      </c>
      <c r="P7" s="135">
        <f>고용!G7</f>
        <v>27244</v>
      </c>
      <c r="Q7" s="135">
        <f t="shared" ref="Q7:Q8" si="9">INT(S7/R7)</f>
        <v>1816</v>
      </c>
      <c r="R7" s="136">
        <f t="shared" ref="R7:R8" si="10">C7</f>
        <v>1</v>
      </c>
      <c r="S7" s="135">
        <f>임채!G7</f>
        <v>1816</v>
      </c>
      <c r="T7" s="135">
        <f t="shared" ref="T7:T8" si="11">INT(V7/U7)</f>
        <v>0</v>
      </c>
      <c r="U7" s="136">
        <f t="shared" ref="U7:U8" si="12">C7</f>
        <v>1</v>
      </c>
      <c r="V7" s="135"/>
      <c r="W7" s="135">
        <f t="shared" ref="W7:W8" si="13">B7+E7+H7+K7+N7+Q7+T7</f>
        <v>312415</v>
      </c>
      <c r="X7" s="135">
        <f t="shared" ref="X7:X8" si="14">D7+G7+J7+M7+P7+S7+V7</f>
        <v>312415</v>
      </c>
    </row>
    <row r="8" spans="1:24" s="64" customFormat="1" ht="20.100000000000001" customHeight="1">
      <c r="A8" s="134" t="str">
        <f>기본급!A7</f>
        <v>전기담당</v>
      </c>
      <c r="B8" s="135">
        <f t="shared" si="0"/>
        <v>48434</v>
      </c>
      <c r="C8" s="136">
        <f>인집!D8</f>
        <v>1</v>
      </c>
      <c r="D8" s="135">
        <f>산재!G8</f>
        <v>48434</v>
      </c>
      <c r="E8" s="135">
        <f t="shared" si="1"/>
        <v>92631</v>
      </c>
      <c r="F8" s="136">
        <f t="shared" si="2"/>
        <v>1</v>
      </c>
      <c r="G8" s="135">
        <f>건강!G8</f>
        <v>92631</v>
      </c>
      <c r="H8" s="135">
        <f t="shared" si="3"/>
        <v>6067</v>
      </c>
      <c r="I8" s="136">
        <f t="shared" si="4"/>
        <v>1</v>
      </c>
      <c r="J8" s="135">
        <f>노인!G8</f>
        <v>6067</v>
      </c>
      <c r="K8" s="135">
        <f t="shared" si="5"/>
        <v>136223</v>
      </c>
      <c r="L8" s="136">
        <f t="shared" si="6"/>
        <v>1</v>
      </c>
      <c r="M8" s="135">
        <f>연금!G8</f>
        <v>136223</v>
      </c>
      <c r="N8" s="135">
        <f t="shared" si="7"/>
        <v>27244</v>
      </c>
      <c r="O8" s="136">
        <f t="shared" si="8"/>
        <v>1</v>
      </c>
      <c r="P8" s="135">
        <f>고용!G8</f>
        <v>27244</v>
      </c>
      <c r="Q8" s="135">
        <f t="shared" si="9"/>
        <v>1816</v>
      </c>
      <c r="R8" s="136">
        <f t="shared" si="10"/>
        <v>1</v>
      </c>
      <c r="S8" s="135">
        <f>임채!G8</f>
        <v>1816</v>
      </c>
      <c r="T8" s="135">
        <f t="shared" si="11"/>
        <v>0</v>
      </c>
      <c r="U8" s="136">
        <f t="shared" si="12"/>
        <v>1</v>
      </c>
      <c r="V8" s="135"/>
      <c r="W8" s="135">
        <f t="shared" si="13"/>
        <v>312415</v>
      </c>
      <c r="X8" s="135">
        <f t="shared" si="14"/>
        <v>312415</v>
      </c>
    </row>
    <row r="9" spans="1:24" s="64" customFormat="1" ht="20.100000000000001" customHeight="1">
      <c r="A9" s="134" t="str">
        <f>기본급!A8</f>
        <v>영선담당</v>
      </c>
      <c r="B9" s="135">
        <f t="shared" ref="B9:B14" si="15">INT(D9/C9)</f>
        <v>46020</v>
      </c>
      <c r="C9" s="136">
        <f>인집!D9</f>
        <v>1</v>
      </c>
      <c r="D9" s="135">
        <f>산재!G9</f>
        <v>46020</v>
      </c>
      <c r="E9" s="135">
        <f t="shared" ref="E9:E14" si="16">INT(G9/F9)</f>
        <v>88013</v>
      </c>
      <c r="F9" s="136">
        <f t="shared" ref="F9:F14" si="17">C9</f>
        <v>1</v>
      </c>
      <c r="G9" s="135">
        <f>건강!G9</f>
        <v>88013</v>
      </c>
      <c r="H9" s="135">
        <f t="shared" ref="H9:H14" si="18">INT(J9/I9)</f>
        <v>5764</v>
      </c>
      <c r="I9" s="136">
        <f t="shared" ref="I9:I14" si="19">C9</f>
        <v>1</v>
      </c>
      <c r="J9" s="135">
        <f>노인!G9</f>
        <v>5764</v>
      </c>
      <c r="K9" s="135">
        <f t="shared" ref="K9:K14" si="20">INT(M9/L9)</f>
        <v>129431</v>
      </c>
      <c r="L9" s="136">
        <f t="shared" ref="L9:L14" si="21">C9</f>
        <v>1</v>
      </c>
      <c r="M9" s="135">
        <f>연금!G9</f>
        <v>129431</v>
      </c>
      <c r="N9" s="135">
        <f t="shared" ref="N9:N14" si="22">INT(P9/O9)</f>
        <v>25886</v>
      </c>
      <c r="O9" s="136">
        <f t="shared" ref="O9:O14" si="23">C9</f>
        <v>1</v>
      </c>
      <c r="P9" s="135">
        <f>고용!G9</f>
        <v>25886</v>
      </c>
      <c r="Q9" s="135">
        <f t="shared" ref="Q9:Q14" si="24">INT(S9/R9)</f>
        <v>1725</v>
      </c>
      <c r="R9" s="136">
        <f t="shared" ref="R9:R14" si="25">C9</f>
        <v>1</v>
      </c>
      <c r="S9" s="135">
        <f>임채!G9</f>
        <v>1725</v>
      </c>
      <c r="T9" s="135">
        <f t="shared" ref="T9:T14" si="26">INT(V9/U9)</f>
        <v>0</v>
      </c>
      <c r="U9" s="136">
        <f t="shared" ref="U9:U14" si="27">C9</f>
        <v>1</v>
      </c>
      <c r="V9" s="135"/>
      <c r="W9" s="135">
        <f t="shared" ref="W9:W14" si="28">B9+E9+H9+K9+N9+Q9+T9</f>
        <v>296839</v>
      </c>
      <c r="X9" s="135">
        <f t="shared" ref="X9:X14" si="29">D9+G9+J9+M9+P9+S9+V9</f>
        <v>296839</v>
      </c>
    </row>
    <row r="10" spans="1:24" s="64" customFormat="1" ht="20.100000000000001" customHeight="1">
      <c r="A10" s="134" t="str">
        <f>기본급!A9</f>
        <v>조경담당</v>
      </c>
      <c r="B10" s="135">
        <f t="shared" si="15"/>
        <v>46020</v>
      </c>
      <c r="C10" s="136">
        <f>인집!D10</f>
        <v>1</v>
      </c>
      <c r="D10" s="135">
        <f>산재!G10</f>
        <v>46020</v>
      </c>
      <c r="E10" s="135">
        <f t="shared" si="16"/>
        <v>88013</v>
      </c>
      <c r="F10" s="136">
        <f t="shared" si="17"/>
        <v>1</v>
      </c>
      <c r="G10" s="135">
        <f>건강!G10</f>
        <v>88013</v>
      </c>
      <c r="H10" s="135">
        <f t="shared" si="18"/>
        <v>5764</v>
      </c>
      <c r="I10" s="136">
        <f t="shared" si="19"/>
        <v>1</v>
      </c>
      <c r="J10" s="135">
        <f>노인!G10</f>
        <v>5764</v>
      </c>
      <c r="K10" s="135">
        <f t="shared" si="20"/>
        <v>129431</v>
      </c>
      <c r="L10" s="136">
        <f t="shared" si="21"/>
        <v>1</v>
      </c>
      <c r="M10" s="135">
        <f>연금!G10</f>
        <v>129431</v>
      </c>
      <c r="N10" s="135">
        <f t="shared" si="22"/>
        <v>25886</v>
      </c>
      <c r="O10" s="136">
        <f t="shared" si="23"/>
        <v>1</v>
      </c>
      <c r="P10" s="135">
        <f>고용!G10</f>
        <v>25886</v>
      </c>
      <c r="Q10" s="135">
        <f t="shared" si="24"/>
        <v>1725</v>
      </c>
      <c r="R10" s="136">
        <f t="shared" si="25"/>
        <v>1</v>
      </c>
      <c r="S10" s="135">
        <f>임채!G10</f>
        <v>1725</v>
      </c>
      <c r="T10" s="135">
        <f t="shared" si="26"/>
        <v>0</v>
      </c>
      <c r="U10" s="136">
        <f t="shared" si="27"/>
        <v>1</v>
      </c>
      <c r="V10" s="135"/>
      <c r="W10" s="135">
        <f t="shared" si="28"/>
        <v>296839</v>
      </c>
      <c r="X10" s="135">
        <f t="shared" si="29"/>
        <v>296839</v>
      </c>
    </row>
    <row r="11" spans="1:24" s="64" customFormat="1" ht="20.100000000000001" customHeight="1">
      <c r="A11" s="134" t="str">
        <f>기본급!A10</f>
        <v>미화반장</v>
      </c>
      <c r="B11" s="135">
        <f t="shared" si="15"/>
        <v>35205</v>
      </c>
      <c r="C11" s="136">
        <f>인집!D11</f>
        <v>1</v>
      </c>
      <c r="D11" s="135">
        <f>산재!G11</f>
        <v>35205</v>
      </c>
      <c r="E11" s="135">
        <f t="shared" si="16"/>
        <v>67331</v>
      </c>
      <c r="F11" s="136">
        <f t="shared" si="17"/>
        <v>1</v>
      </c>
      <c r="G11" s="135">
        <f>건강!G11</f>
        <v>67331</v>
      </c>
      <c r="H11" s="135">
        <f t="shared" si="18"/>
        <v>4410</v>
      </c>
      <c r="I11" s="136">
        <f t="shared" si="19"/>
        <v>1</v>
      </c>
      <c r="J11" s="135">
        <f>노인!G11</f>
        <v>4410</v>
      </c>
      <c r="K11" s="135">
        <f t="shared" si="20"/>
        <v>99016</v>
      </c>
      <c r="L11" s="136">
        <f t="shared" si="21"/>
        <v>1</v>
      </c>
      <c r="M11" s="135">
        <f>연금!G11</f>
        <v>99016</v>
      </c>
      <c r="N11" s="135">
        <f t="shared" si="22"/>
        <v>19803</v>
      </c>
      <c r="O11" s="136">
        <f t="shared" si="23"/>
        <v>1</v>
      </c>
      <c r="P11" s="135">
        <f>고용!G11</f>
        <v>19803</v>
      </c>
      <c r="Q11" s="135">
        <f t="shared" si="24"/>
        <v>1320</v>
      </c>
      <c r="R11" s="136">
        <f t="shared" si="25"/>
        <v>1</v>
      </c>
      <c r="S11" s="135">
        <f>임채!G11</f>
        <v>1320</v>
      </c>
      <c r="T11" s="135">
        <f t="shared" si="26"/>
        <v>0</v>
      </c>
      <c r="U11" s="136">
        <f t="shared" si="27"/>
        <v>1</v>
      </c>
      <c r="V11" s="135"/>
      <c r="W11" s="135">
        <f t="shared" si="28"/>
        <v>227085</v>
      </c>
      <c r="X11" s="135">
        <f t="shared" si="29"/>
        <v>227085</v>
      </c>
    </row>
    <row r="12" spans="1:24" s="64" customFormat="1" ht="20.100000000000001" customHeight="1">
      <c r="A12" s="134" t="str">
        <f>기본급!A11</f>
        <v>미화원(남·여)</v>
      </c>
      <c r="B12" s="135">
        <f t="shared" si="15"/>
        <v>34620</v>
      </c>
      <c r="C12" s="136">
        <f>인집!D12</f>
        <v>4</v>
      </c>
      <c r="D12" s="135">
        <f>산재!G12</f>
        <v>138480</v>
      </c>
      <c r="E12" s="135">
        <f t="shared" si="16"/>
        <v>66211</v>
      </c>
      <c r="F12" s="136">
        <f t="shared" si="17"/>
        <v>4</v>
      </c>
      <c r="G12" s="135">
        <f>건강!G12</f>
        <v>264844</v>
      </c>
      <c r="H12" s="135">
        <f t="shared" si="18"/>
        <v>4336</v>
      </c>
      <c r="I12" s="136">
        <f t="shared" si="19"/>
        <v>4</v>
      </c>
      <c r="J12" s="135">
        <f>노인!G12</f>
        <v>17347</v>
      </c>
      <c r="K12" s="135">
        <f t="shared" si="20"/>
        <v>97369</v>
      </c>
      <c r="L12" s="136">
        <f t="shared" si="21"/>
        <v>4</v>
      </c>
      <c r="M12" s="135">
        <f>연금!G12</f>
        <v>389477</v>
      </c>
      <c r="N12" s="135">
        <f t="shared" si="22"/>
        <v>19473</v>
      </c>
      <c r="O12" s="136">
        <f t="shared" si="23"/>
        <v>4</v>
      </c>
      <c r="P12" s="135">
        <f>고용!G12</f>
        <v>77895</v>
      </c>
      <c r="Q12" s="135">
        <f t="shared" si="24"/>
        <v>1298</v>
      </c>
      <c r="R12" s="136">
        <f t="shared" si="25"/>
        <v>4</v>
      </c>
      <c r="S12" s="135">
        <f>임채!G12</f>
        <v>5193</v>
      </c>
      <c r="T12" s="135">
        <f t="shared" si="26"/>
        <v>0</v>
      </c>
      <c r="U12" s="136">
        <f t="shared" si="27"/>
        <v>4</v>
      </c>
      <c r="V12" s="135"/>
      <c r="W12" s="135">
        <f t="shared" si="28"/>
        <v>223307</v>
      </c>
      <c r="X12" s="135">
        <f t="shared" si="29"/>
        <v>893236</v>
      </c>
    </row>
    <row r="13" spans="1:24" s="64" customFormat="1" ht="20.100000000000001" customHeight="1">
      <c r="A13" s="134" t="str">
        <f>기본급!A12</f>
        <v>경비반장</v>
      </c>
      <c r="B13" s="135">
        <f t="shared" si="15"/>
        <v>40222</v>
      </c>
      <c r="C13" s="136">
        <f>인집!D13</f>
        <v>1</v>
      </c>
      <c r="D13" s="135">
        <f>산재!G13</f>
        <v>40222</v>
      </c>
      <c r="E13" s="135">
        <f t="shared" si="16"/>
        <v>76926</v>
      </c>
      <c r="F13" s="136">
        <f t="shared" si="17"/>
        <v>1</v>
      </c>
      <c r="G13" s="135">
        <f>건강!G13</f>
        <v>76926</v>
      </c>
      <c r="H13" s="135">
        <f t="shared" si="18"/>
        <v>5038</v>
      </c>
      <c r="I13" s="136">
        <f t="shared" si="19"/>
        <v>1</v>
      </c>
      <c r="J13" s="135">
        <f>노인!G13</f>
        <v>5038</v>
      </c>
      <c r="K13" s="135">
        <f t="shared" si="20"/>
        <v>113126</v>
      </c>
      <c r="L13" s="136">
        <f t="shared" si="21"/>
        <v>1</v>
      </c>
      <c r="M13" s="135">
        <f>연금!G13</f>
        <v>113126</v>
      </c>
      <c r="N13" s="135">
        <f t="shared" si="22"/>
        <v>22625</v>
      </c>
      <c r="O13" s="136">
        <f t="shared" si="23"/>
        <v>1</v>
      </c>
      <c r="P13" s="135">
        <f>고용!G13</f>
        <v>22625</v>
      </c>
      <c r="Q13" s="135">
        <f t="shared" si="24"/>
        <v>1508</v>
      </c>
      <c r="R13" s="136">
        <f t="shared" si="25"/>
        <v>1</v>
      </c>
      <c r="S13" s="135">
        <f>임채!G13</f>
        <v>1508</v>
      </c>
      <c r="T13" s="135">
        <f t="shared" si="26"/>
        <v>0</v>
      </c>
      <c r="U13" s="136">
        <f t="shared" si="27"/>
        <v>1</v>
      </c>
      <c r="V13" s="135"/>
      <c r="W13" s="135">
        <f t="shared" si="28"/>
        <v>259445</v>
      </c>
      <c r="X13" s="135">
        <f t="shared" si="29"/>
        <v>259445</v>
      </c>
    </row>
    <row r="14" spans="1:24" s="64" customFormat="1" ht="20.100000000000001" customHeight="1">
      <c r="A14" s="134" t="str">
        <f>기본급!A13</f>
        <v>경비원</v>
      </c>
      <c r="B14" s="135">
        <f t="shared" si="15"/>
        <v>36149</v>
      </c>
      <c r="C14" s="136">
        <f>인집!D14</f>
        <v>2</v>
      </c>
      <c r="D14" s="135">
        <f>산재!G14</f>
        <v>72299</v>
      </c>
      <c r="E14" s="135">
        <f t="shared" si="16"/>
        <v>69135</v>
      </c>
      <c r="F14" s="136">
        <f t="shared" si="17"/>
        <v>2</v>
      </c>
      <c r="G14" s="135">
        <f>건강!G14</f>
        <v>138271</v>
      </c>
      <c r="H14" s="135">
        <f t="shared" si="18"/>
        <v>4528</v>
      </c>
      <c r="I14" s="136">
        <f t="shared" si="19"/>
        <v>2</v>
      </c>
      <c r="J14" s="135">
        <f>노인!G14</f>
        <v>9056</v>
      </c>
      <c r="K14" s="135">
        <f t="shared" si="20"/>
        <v>101670</v>
      </c>
      <c r="L14" s="136">
        <f t="shared" si="21"/>
        <v>2</v>
      </c>
      <c r="M14" s="135">
        <f>연금!G14</f>
        <v>203341</v>
      </c>
      <c r="N14" s="135">
        <f t="shared" si="22"/>
        <v>20334</v>
      </c>
      <c r="O14" s="136">
        <f t="shared" si="23"/>
        <v>2</v>
      </c>
      <c r="P14" s="135">
        <f>고용!G14</f>
        <v>40668</v>
      </c>
      <c r="Q14" s="135">
        <f t="shared" si="24"/>
        <v>1355</v>
      </c>
      <c r="R14" s="136">
        <f t="shared" si="25"/>
        <v>2</v>
      </c>
      <c r="S14" s="135">
        <f>임채!G14</f>
        <v>2711</v>
      </c>
      <c r="T14" s="135">
        <f t="shared" si="26"/>
        <v>0</v>
      </c>
      <c r="U14" s="136">
        <f t="shared" si="27"/>
        <v>2</v>
      </c>
      <c r="V14" s="135"/>
      <c r="W14" s="135">
        <f t="shared" si="28"/>
        <v>233171</v>
      </c>
      <c r="X14" s="135">
        <f t="shared" si="29"/>
        <v>466346</v>
      </c>
    </row>
    <row r="15" spans="1:24" s="64" customFormat="1" ht="20.100000000000001" customHeight="1">
      <c r="A15" s="134"/>
      <c r="B15" s="135"/>
      <c r="C15" s="136"/>
      <c r="D15" s="135"/>
      <c r="E15" s="135"/>
      <c r="F15" s="136"/>
      <c r="G15" s="135"/>
      <c r="H15" s="135"/>
      <c r="I15" s="136"/>
      <c r="J15" s="135"/>
      <c r="K15" s="135"/>
      <c r="L15" s="136"/>
      <c r="M15" s="135"/>
      <c r="N15" s="135"/>
      <c r="O15" s="136"/>
      <c r="P15" s="135"/>
      <c r="Q15" s="135"/>
      <c r="R15" s="136"/>
      <c r="S15" s="135"/>
      <c r="T15" s="135"/>
      <c r="U15" s="136"/>
      <c r="V15" s="135"/>
      <c r="W15" s="135"/>
      <c r="X15" s="135"/>
    </row>
    <row r="16" spans="1:24" s="64" customFormat="1" ht="20.100000000000001" customHeight="1" thickBot="1">
      <c r="A16" s="137"/>
      <c r="B16" s="138"/>
      <c r="C16" s="139"/>
      <c r="D16" s="138"/>
      <c r="E16" s="138"/>
      <c r="F16" s="139"/>
      <c r="G16" s="138"/>
      <c r="H16" s="138"/>
      <c r="I16" s="139"/>
      <c r="J16" s="138"/>
      <c r="K16" s="138"/>
      <c r="L16" s="139"/>
      <c r="M16" s="138"/>
      <c r="N16" s="138"/>
      <c r="O16" s="139"/>
      <c r="P16" s="138"/>
      <c r="Q16" s="138"/>
      <c r="R16" s="139"/>
      <c r="S16" s="138"/>
      <c r="T16" s="138"/>
      <c r="U16" s="139"/>
      <c r="V16" s="138"/>
      <c r="W16" s="138"/>
      <c r="X16" s="138"/>
    </row>
    <row r="17" spans="1:24" s="64" customFormat="1" ht="20.100000000000001" customHeight="1" thickTop="1">
      <c r="A17" s="140" t="s">
        <v>26</v>
      </c>
      <c r="B17" s="141"/>
      <c r="C17" s="142">
        <f>SUM(C6:C16)</f>
        <v>13</v>
      </c>
      <c r="D17" s="141">
        <f>SUM(D6:D16)</f>
        <v>530036</v>
      </c>
      <c r="E17" s="141"/>
      <c r="F17" s="142">
        <f>SUM(F6:F16)</f>
        <v>13</v>
      </c>
      <c r="G17" s="141">
        <f>SUM(G6:G16)</f>
        <v>1013698</v>
      </c>
      <c r="H17" s="141"/>
      <c r="I17" s="142">
        <f>SUM(I6:I16)</f>
        <v>13</v>
      </c>
      <c r="J17" s="141">
        <f>SUM(J6:J16)</f>
        <v>66392</v>
      </c>
      <c r="K17" s="141"/>
      <c r="L17" s="142">
        <f>SUM(L6:L16)</f>
        <v>13</v>
      </c>
      <c r="M17" s="141">
        <f>SUM(M6:M16)</f>
        <v>1490736</v>
      </c>
      <c r="N17" s="141"/>
      <c r="O17" s="142">
        <f>SUM(O6:O16)</f>
        <v>13</v>
      </c>
      <c r="P17" s="141">
        <f>SUM(P6:P16)</f>
        <v>298144</v>
      </c>
      <c r="Q17" s="141"/>
      <c r="R17" s="142">
        <f>SUM(R6:R16)</f>
        <v>13</v>
      </c>
      <c r="S17" s="141">
        <f>SUM(S6:S16)</f>
        <v>19873</v>
      </c>
      <c r="T17" s="141"/>
      <c r="U17" s="142">
        <f>SUM(U6:U16)</f>
        <v>13</v>
      </c>
      <c r="V17" s="141">
        <f>SUM(V6:V16)</f>
        <v>0</v>
      </c>
      <c r="W17" s="141"/>
      <c r="X17" s="141">
        <f>SUM(X6:X16)</f>
        <v>3418879</v>
      </c>
    </row>
    <row r="18" spans="1:24" s="64" customFormat="1" ht="18" customHeight="1">
      <c r="A18" s="64" t="s">
        <v>281</v>
      </c>
    </row>
    <row r="19" spans="1:24" s="64" customFormat="1" ht="18" customHeight="1">
      <c r="A19" s="64" t="s">
        <v>282</v>
      </c>
    </row>
    <row r="20" spans="1:24" s="64" customFormat="1" ht="18" customHeight="1">
      <c r="A20" s="64" t="s">
        <v>283</v>
      </c>
    </row>
    <row r="21" spans="1:24" s="64" customFormat="1" ht="18" customHeight="1">
      <c r="A21" s="64" t="s">
        <v>284</v>
      </c>
    </row>
    <row r="22" spans="1:24" s="64" customFormat="1" ht="18" customHeight="1">
      <c r="A22" s="64" t="s">
        <v>285</v>
      </c>
    </row>
    <row r="23" spans="1:24" s="64" customFormat="1" ht="18" customHeight="1">
      <c r="A23" s="64" t="s">
        <v>286</v>
      </c>
    </row>
    <row r="24" spans="1:24" s="64" customFormat="1" ht="18" hidden="1" customHeight="1">
      <c r="A24" s="64" t="s">
        <v>287</v>
      </c>
    </row>
  </sheetData>
  <mergeCells count="10">
    <mergeCell ref="T4:V4"/>
    <mergeCell ref="A1:X1"/>
    <mergeCell ref="A4:A5"/>
    <mergeCell ref="B4:D4"/>
    <mergeCell ref="E4:G4"/>
    <mergeCell ref="H4:J4"/>
    <mergeCell ref="K4:M4"/>
    <mergeCell ref="W4:X4"/>
    <mergeCell ref="N4:P4"/>
    <mergeCell ref="Q4:S4"/>
  </mergeCells>
  <phoneticPr fontId="4" type="noConversion"/>
  <pageMargins left="0.70866141732283472" right="0.97" top="0.78740157480314965" bottom="0.59055118110236227" header="0.59055118110236227" footer="0.39370078740157483"/>
  <pageSetup paperSize="9" orientation="landscape" r:id="rId1"/>
</worksheet>
</file>

<file path=xl/worksheets/sheet26.xml><?xml version="1.0" encoding="utf-8"?>
<worksheet xmlns="http://schemas.openxmlformats.org/spreadsheetml/2006/main" xmlns:r="http://schemas.openxmlformats.org/officeDocument/2006/relationships">
  <dimension ref="A1:G19"/>
  <sheetViews>
    <sheetView view="pageBreakPreview" zoomScaleNormal="100" zoomScaleSheetLayoutView="100" workbookViewId="0">
      <selection activeCell="I18" sqref="I18"/>
    </sheetView>
  </sheetViews>
  <sheetFormatPr defaultRowHeight="24.95" customHeight="1"/>
  <cols>
    <col min="1" max="1" width="15.625" style="2" customWidth="1"/>
    <col min="2" max="2" width="8.625" style="2" customWidth="1"/>
    <col min="3" max="7" width="11.625" style="2" customWidth="1"/>
    <col min="8" max="8" width="9" style="2"/>
    <col min="9" max="9" width="10.625" style="2" customWidth="1"/>
    <col min="10" max="10" width="9" style="2" customWidth="1"/>
    <col min="11" max="16384" width="9" style="2"/>
  </cols>
  <sheetData>
    <row r="1" spans="1:7" ht="39.950000000000003" customHeight="1">
      <c r="A1" s="165" t="s">
        <v>239</v>
      </c>
      <c r="B1" s="165"/>
      <c r="C1" s="165"/>
      <c r="D1" s="165"/>
      <c r="E1" s="165"/>
      <c r="F1" s="165"/>
      <c r="G1" s="165"/>
    </row>
    <row r="2" spans="1:7" ht="15" customHeight="1"/>
    <row r="3" spans="1:7" ht="24.95" customHeight="1">
      <c r="A3" s="24" t="str">
        <f>원가!A3</f>
        <v>▣ 건   명 : 경기상상캠퍼스 시설관리용역(시설, 미화, 경비)</v>
      </c>
      <c r="G3" s="43" t="s">
        <v>240</v>
      </c>
    </row>
    <row r="4" spans="1:7" ht="20.100000000000001" customHeight="1">
      <c r="A4" s="257" t="s">
        <v>241</v>
      </c>
      <c r="B4" s="259" t="s">
        <v>242</v>
      </c>
      <c r="C4" s="260" t="s">
        <v>243</v>
      </c>
      <c r="D4" s="261"/>
      <c r="E4" s="261"/>
      <c r="F4" s="262"/>
      <c r="G4" s="263" t="s">
        <v>244</v>
      </c>
    </row>
    <row r="5" spans="1:7" ht="20.100000000000001" customHeight="1">
      <c r="A5" s="258"/>
      <c r="B5" s="258"/>
      <c r="C5" s="102" t="s">
        <v>245</v>
      </c>
      <c r="D5" s="66" t="s">
        <v>246</v>
      </c>
      <c r="E5" s="66" t="s">
        <v>247</v>
      </c>
      <c r="F5" s="102" t="s">
        <v>88</v>
      </c>
      <c r="G5" s="264"/>
    </row>
    <row r="6" spans="1:7" ht="24" customHeight="1">
      <c r="A6" s="127" t="str">
        <f>인집!B6</f>
        <v>시설반장</v>
      </c>
      <c r="B6" s="255">
        <v>1.6E-2</v>
      </c>
      <c r="C6" s="79">
        <f>인집!E6</f>
        <v>2807915</v>
      </c>
      <c r="D6" s="79">
        <f>인집!H6</f>
        <v>467985</v>
      </c>
      <c r="E6" s="79">
        <f>인집!K6</f>
        <v>156740</v>
      </c>
      <c r="F6" s="79">
        <f>SUM(C6:E6)</f>
        <v>3432640</v>
      </c>
      <c r="G6" s="79">
        <f>INT(F6*$B$6)</f>
        <v>54922</v>
      </c>
    </row>
    <row r="7" spans="1:7" ht="24" customHeight="1">
      <c r="A7" s="127" t="str">
        <f>인집!B7</f>
        <v>기계담당</v>
      </c>
      <c r="B7" s="256"/>
      <c r="C7" s="79">
        <f>인집!E7</f>
        <v>2559205</v>
      </c>
      <c r="D7" s="79">
        <f>인집!H7</f>
        <v>319900</v>
      </c>
      <c r="E7" s="79">
        <f>인집!K7</f>
        <v>148081</v>
      </c>
      <c r="F7" s="79">
        <f t="shared" ref="F7:F8" si="0">SUM(C7:E7)</f>
        <v>3027186</v>
      </c>
      <c r="G7" s="79">
        <f>INT(F7*$B$6)</f>
        <v>48434</v>
      </c>
    </row>
    <row r="8" spans="1:7" ht="24" customHeight="1">
      <c r="A8" s="127" t="str">
        <f>인집!B8</f>
        <v>전기담당</v>
      </c>
      <c r="B8" s="256"/>
      <c r="C8" s="79">
        <f>인집!E8</f>
        <v>2559205</v>
      </c>
      <c r="D8" s="79">
        <f>인집!H8</f>
        <v>319900</v>
      </c>
      <c r="E8" s="79">
        <f>인집!K8</f>
        <v>148081</v>
      </c>
      <c r="F8" s="79">
        <f t="shared" si="0"/>
        <v>3027186</v>
      </c>
      <c r="G8" s="79">
        <f>INT(F8*$B$6)</f>
        <v>48434</v>
      </c>
    </row>
    <row r="9" spans="1:7" ht="24" customHeight="1">
      <c r="A9" s="127" t="str">
        <f>인집!B9</f>
        <v>영선담당</v>
      </c>
      <c r="B9" s="256"/>
      <c r="C9" s="79">
        <f>인집!E9</f>
        <v>2525138</v>
      </c>
      <c r="D9" s="79">
        <f>인집!H9</f>
        <v>210428</v>
      </c>
      <c r="E9" s="79">
        <f>인집!K9</f>
        <v>140696</v>
      </c>
      <c r="F9" s="79">
        <f t="shared" ref="F9:F14" si="1">SUM(C9:E9)</f>
        <v>2876262</v>
      </c>
      <c r="G9" s="79">
        <f t="shared" ref="G9:G14" si="2">INT(F9*$B$6)</f>
        <v>46020</v>
      </c>
    </row>
    <row r="10" spans="1:7" ht="24" customHeight="1">
      <c r="A10" s="127" t="str">
        <f>인집!B10</f>
        <v>조경담당</v>
      </c>
      <c r="B10" s="256"/>
      <c r="C10" s="79">
        <f>인집!E10</f>
        <v>2525138</v>
      </c>
      <c r="D10" s="79">
        <f>인집!H10</f>
        <v>210428</v>
      </c>
      <c r="E10" s="79">
        <f>인집!K10</f>
        <v>140696</v>
      </c>
      <c r="F10" s="79">
        <f t="shared" si="1"/>
        <v>2876262</v>
      </c>
      <c r="G10" s="79">
        <f t="shared" si="2"/>
        <v>46020</v>
      </c>
    </row>
    <row r="11" spans="1:7" ht="24" customHeight="1">
      <c r="A11" s="127" t="str">
        <f>인집!B11</f>
        <v>미화반장</v>
      </c>
      <c r="B11" s="256"/>
      <c r="C11" s="79">
        <f>인집!E11</f>
        <v>1799908</v>
      </c>
      <c r="D11" s="79">
        <f>인집!H11</f>
        <v>299984</v>
      </c>
      <c r="E11" s="79">
        <f>인집!K11</f>
        <v>100470</v>
      </c>
      <c r="F11" s="79">
        <f t="shared" si="1"/>
        <v>2200362</v>
      </c>
      <c r="G11" s="79">
        <f t="shared" si="2"/>
        <v>35205</v>
      </c>
    </row>
    <row r="12" spans="1:7" ht="24" customHeight="1">
      <c r="A12" s="127" t="str">
        <f>인집!B12</f>
        <v>미화원(남·여)</v>
      </c>
      <c r="B12" s="256"/>
      <c r="C12" s="79">
        <f>인집!E12</f>
        <v>7199632</v>
      </c>
      <c r="D12" s="79">
        <f>인집!H12</f>
        <v>899954</v>
      </c>
      <c r="E12" s="79">
        <f>인집!K12</f>
        <v>555474</v>
      </c>
      <c r="F12" s="79">
        <f t="shared" si="1"/>
        <v>8655060</v>
      </c>
      <c r="G12" s="79">
        <f t="shared" si="2"/>
        <v>138480</v>
      </c>
    </row>
    <row r="13" spans="1:7" ht="24" customHeight="1">
      <c r="A13" s="127" t="str">
        <f>인집!B13</f>
        <v>경비반장</v>
      </c>
      <c r="B13" s="256"/>
      <c r="C13" s="79">
        <f>인집!E13</f>
        <v>1799908</v>
      </c>
      <c r="D13" s="79">
        <f>인집!H13</f>
        <v>299984</v>
      </c>
      <c r="E13" s="79">
        <f>인집!K13</f>
        <v>414031</v>
      </c>
      <c r="F13" s="79">
        <f t="shared" si="1"/>
        <v>2513923</v>
      </c>
      <c r="G13" s="79">
        <f t="shared" si="2"/>
        <v>40222</v>
      </c>
    </row>
    <row r="14" spans="1:7" ht="24" customHeight="1">
      <c r="A14" s="127" t="str">
        <f>인집!B14</f>
        <v>경비원</v>
      </c>
      <c r="B14" s="256"/>
      <c r="C14" s="79">
        <f>인집!E14</f>
        <v>3599816</v>
      </c>
      <c r="D14" s="79">
        <f>인집!H14</f>
        <v>149992</v>
      </c>
      <c r="E14" s="79">
        <f>인집!K14</f>
        <v>768881</v>
      </c>
      <c r="F14" s="79">
        <f t="shared" si="1"/>
        <v>4518689</v>
      </c>
      <c r="G14" s="79">
        <f t="shared" si="2"/>
        <v>72299</v>
      </c>
    </row>
    <row r="15" spans="1:7" ht="24" customHeight="1" thickBot="1">
      <c r="A15" s="128"/>
      <c r="B15" s="85"/>
      <c r="C15" s="83"/>
      <c r="D15" s="83"/>
      <c r="E15" s="83"/>
      <c r="F15" s="83"/>
      <c r="G15" s="83"/>
    </row>
    <row r="16" spans="1:7" ht="24" customHeight="1" thickTop="1">
      <c r="A16" s="73" t="s">
        <v>139</v>
      </c>
      <c r="B16" s="88"/>
      <c r="C16" s="86">
        <f>SUM(C6:C15)</f>
        <v>27375865</v>
      </c>
      <c r="D16" s="86">
        <f>SUM(D6:D15)</f>
        <v>3178555</v>
      </c>
      <c r="E16" s="86">
        <f>SUM(E6:E15)</f>
        <v>2573150</v>
      </c>
      <c r="F16" s="86">
        <f>SUM(F6:F15)</f>
        <v>33127570</v>
      </c>
      <c r="G16" s="86">
        <f>SUM(G6:G15)</f>
        <v>530036</v>
      </c>
    </row>
    <row r="17" spans="1:1" ht="24.95" customHeight="1">
      <c r="A17" s="2" t="s">
        <v>258</v>
      </c>
    </row>
    <row r="18" spans="1:1" ht="24.95" customHeight="1">
      <c r="A18" s="2" t="s">
        <v>260</v>
      </c>
    </row>
    <row r="19" spans="1:1" ht="24.95" customHeight="1">
      <c r="A19" s="2" t="s">
        <v>256</v>
      </c>
    </row>
  </sheetData>
  <mergeCells count="6">
    <mergeCell ref="B6:B14"/>
    <mergeCell ref="A1:G1"/>
    <mergeCell ref="A4:A5"/>
    <mergeCell ref="B4:B5"/>
    <mergeCell ref="C4:F4"/>
    <mergeCell ref="G4:G5"/>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27.xml><?xml version="1.0" encoding="utf-8"?>
<worksheet xmlns="http://schemas.openxmlformats.org/spreadsheetml/2006/main" xmlns:r="http://schemas.openxmlformats.org/officeDocument/2006/relationships">
  <dimension ref="A1:G19"/>
  <sheetViews>
    <sheetView view="pageBreakPreview" zoomScaleNormal="100" zoomScaleSheetLayoutView="100" workbookViewId="0">
      <selection activeCell="I18" sqref="I18"/>
    </sheetView>
  </sheetViews>
  <sheetFormatPr defaultRowHeight="24.95" customHeight="1"/>
  <cols>
    <col min="1" max="1" width="15.625" style="2" customWidth="1"/>
    <col min="2" max="2" width="8.625" style="2" customWidth="1"/>
    <col min="3" max="7" width="11.625" style="2" customWidth="1"/>
    <col min="8" max="8" width="9" style="2"/>
    <col min="9" max="9" width="10.625" style="2" customWidth="1"/>
    <col min="10" max="10" width="9" style="2" customWidth="1"/>
    <col min="11" max="16384" width="9" style="2"/>
  </cols>
  <sheetData>
    <row r="1" spans="1:7" ht="39.950000000000003" customHeight="1">
      <c r="A1" s="165" t="s">
        <v>248</v>
      </c>
      <c r="B1" s="165"/>
      <c r="C1" s="165"/>
      <c r="D1" s="165"/>
      <c r="E1" s="165"/>
      <c r="F1" s="165"/>
      <c r="G1" s="165"/>
    </row>
    <row r="2" spans="1:7" ht="15" customHeight="1"/>
    <row r="3" spans="1:7" ht="24.95" customHeight="1">
      <c r="A3" s="24" t="str">
        <f>원가!A3</f>
        <v>▣ 건   명 : 경기상상캠퍼스 시설관리용역(시설, 미화, 경비)</v>
      </c>
      <c r="G3" s="43" t="s">
        <v>249</v>
      </c>
    </row>
    <row r="4" spans="1:7" ht="20.100000000000001" customHeight="1">
      <c r="A4" s="257" t="s">
        <v>241</v>
      </c>
      <c r="B4" s="259" t="s">
        <v>242</v>
      </c>
      <c r="C4" s="260" t="s">
        <v>243</v>
      </c>
      <c r="D4" s="261"/>
      <c r="E4" s="261"/>
      <c r="F4" s="262"/>
      <c r="G4" s="263" t="s">
        <v>244</v>
      </c>
    </row>
    <row r="5" spans="1:7" ht="20.100000000000001" customHeight="1">
      <c r="A5" s="258"/>
      <c r="B5" s="258"/>
      <c r="C5" s="102" t="s">
        <v>245</v>
      </c>
      <c r="D5" s="66" t="s">
        <v>246</v>
      </c>
      <c r="E5" s="66" t="s">
        <v>247</v>
      </c>
      <c r="F5" s="102" t="s">
        <v>88</v>
      </c>
      <c r="G5" s="264"/>
    </row>
    <row r="6" spans="1:7" ht="24" customHeight="1">
      <c r="A6" s="127" t="str">
        <f>인집!B6</f>
        <v>시설반장</v>
      </c>
      <c r="B6" s="255">
        <v>3.0599999999999999E-2</v>
      </c>
      <c r="C6" s="79">
        <f>인집!E6</f>
        <v>2807915</v>
      </c>
      <c r="D6" s="79">
        <f>인집!H6</f>
        <v>467985</v>
      </c>
      <c r="E6" s="79">
        <f>인집!K6</f>
        <v>156740</v>
      </c>
      <c r="F6" s="79">
        <f>SUM(C6:E6)</f>
        <v>3432640</v>
      </c>
      <c r="G6" s="79">
        <f>INT(F6*$B$6)</f>
        <v>105038</v>
      </c>
    </row>
    <row r="7" spans="1:7" ht="24" customHeight="1">
      <c r="A7" s="127" t="str">
        <f>인집!B7</f>
        <v>기계담당</v>
      </c>
      <c r="B7" s="256"/>
      <c r="C7" s="79">
        <f>인집!E7</f>
        <v>2559205</v>
      </c>
      <c r="D7" s="79">
        <f>인집!H7</f>
        <v>319900</v>
      </c>
      <c r="E7" s="79">
        <f>인집!K7</f>
        <v>148081</v>
      </c>
      <c r="F7" s="79">
        <f t="shared" ref="F7:F8" si="0">SUM(C7:E7)</f>
        <v>3027186</v>
      </c>
      <c r="G7" s="79">
        <f t="shared" ref="G7:G8" si="1">INT(F7*$B$6)</f>
        <v>92631</v>
      </c>
    </row>
    <row r="8" spans="1:7" ht="24" customHeight="1">
      <c r="A8" s="127" t="str">
        <f>인집!B8</f>
        <v>전기담당</v>
      </c>
      <c r="B8" s="256"/>
      <c r="C8" s="79">
        <f>인집!E8</f>
        <v>2559205</v>
      </c>
      <c r="D8" s="79">
        <f>인집!H8</f>
        <v>319900</v>
      </c>
      <c r="E8" s="79">
        <f>인집!K8</f>
        <v>148081</v>
      </c>
      <c r="F8" s="79">
        <f t="shared" si="0"/>
        <v>3027186</v>
      </c>
      <c r="G8" s="79">
        <f t="shared" si="1"/>
        <v>92631</v>
      </c>
    </row>
    <row r="9" spans="1:7" ht="24" customHeight="1">
      <c r="A9" s="127" t="str">
        <f>인집!B9</f>
        <v>영선담당</v>
      </c>
      <c r="B9" s="256"/>
      <c r="C9" s="79">
        <f>인집!E9</f>
        <v>2525138</v>
      </c>
      <c r="D9" s="79">
        <f>인집!H9</f>
        <v>210428</v>
      </c>
      <c r="E9" s="79">
        <f>인집!K9</f>
        <v>140696</v>
      </c>
      <c r="F9" s="79">
        <f t="shared" ref="F9:F14" si="2">SUM(C9:E9)</f>
        <v>2876262</v>
      </c>
      <c r="G9" s="79">
        <f t="shared" ref="G9:G14" si="3">INT(F9*$B$6)</f>
        <v>88013</v>
      </c>
    </row>
    <row r="10" spans="1:7" ht="24" customHeight="1">
      <c r="A10" s="127" t="str">
        <f>인집!B10</f>
        <v>조경담당</v>
      </c>
      <c r="B10" s="256"/>
      <c r="C10" s="79">
        <f>인집!E10</f>
        <v>2525138</v>
      </c>
      <c r="D10" s="79">
        <f>인집!H10</f>
        <v>210428</v>
      </c>
      <c r="E10" s="79">
        <f>인집!K10</f>
        <v>140696</v>
      </c>
      <c r="F10" s="79">
        <f t="shared" si="2"/>
        <v>2876262</v>
      </c>
      <c r="G10" s="79">
        <f t="shared" si="3"/>
        <v>88013</v>
      </c>
    </row>
    <row r="11" spans="1:7" ht="24" customHeight="1">
      <c r="A11" s="127" t="str">
        <f>인집!B11</f>
        <v>미화반장</v>
      </c>
      <c r="B11" s="256"/>
      <c r="C11" s="79">
        <f>인집!E11</f>
        <v>1799908</v>
      </c>
      <c r="D11" s="79">
        <f>인집!H11</f>
        <v>299984</v>
      </c>
      <c r="E11" s="79">
        <f>인집!K11</f>
        <v>100470</v>
      </c>
      <c r="F11" s="79">
        <f t="shared" si="2"/>
        <v>2200362</v>
      </c>
      <c r="G11" s="79">
        <f t="shared" si="3"/>
        <v>67331</v>
      </c>
    </row>
    <row r="12" spans="1:7" ht="24" customHeight="1">
      <c r="A12" s="127" t="str">
        <f>인집!B12</f>
        <v>미화원(남·여)</v>
      </c>
      <c r="B12" s="256"/>
      <c r="C12" s="79">
        <f>인집!E12</f>
        <v>7199632</v>
      </c>
      <c r="D12" s="79">
        <f>인집!H12</f>
        <v>899954</v>
      </c>
      <c r="E12" s="79">
        <f>인집!K12</f>
        <v>555474</v>
      </c>
      <c r="F12" s="79">
        <f t="shared" si="2"/>
        <v>8655060</v>
      </c>
      <c r="G12" s="79">
        <f t="shared" si="3"/>
        <v>264844</v>
      </c>
    </row>
    <row r="13" spans="1:7" ht="24" customHeight="1">
      <c r="A13" s="127" t="str">
        <f>인집!B13</f>
        <v>경비반장</v>
      </c>
      <c r="B13" s="256"/>
      <c r="C13" s="79">
        <f>인집!E13</f>
        <v>1799908</v>
      </c>
      <c r="D13" s="79">
        <f>인집!H13</f>
        <v>299984</v>
      </c>
      <c r="E13" s="79">
        <f>인집!K13</f>
        <v>414031</v>
      </c>
      <c r="F13" s="79">
        <f t="shared" si="2"/>
        <v>2513923</v>
      </c>
      <c r="G13" s="79">
        <f t="shared" si="3"/>
        <v>76926</v>
      </c>
    </row>
    <row r="14" spans="1:7" ht="24" customHeight="1">
      <c r="A14" s="127" t="str">
        <f>인집!B14</f>
        <v>경비원</v>
      </c>
      <c r="B14" s="256"/>
      <c r="C14" s="79">
        <f>인집!E14</f>
        <v>3599816</v>
      </c>
      <c r="D14" s="79">
        <f>인집!H14</f>
        <v>149992</v>
      </c>
      <c r="E14" s="79">
        <f>인집!K14</f>
        <v>768881</v>
      </c>
      <c r="F14" s="79">
        <f t="shared" si="2"/>
        <v>4518689</v>
      </c>
      <c r="G14" s="79">
        <f t="shared" si="3"/>
        <v>138271</v>
      </c>
    </row>
    <row r="15" spans="1:7" ht="24" customHeight="1" thickBot="1">
      <c r="A15" s="128"/>
      <c r="B15" s="85"/>
      <c r="C15" s="83"/>
      <c r="D15" s="83"/>
      <c r="E15" s="83"/>
      <c r="F15" s="83"/>
      <c r="G15" s="83"/>
    </row>
    <row r="16" spans="1:7" ht="24" customHeight="1" thickTop="1">
      <c r="A16" s="73" t="s">
        <v>139</v>
      </c>
      <c r="B16" s="88"/>
      <c r="C16" s="86">
        <f>SUM(C6:C15)</f>
        <v>27375865</v>
      </c>
      <c r="D16" s="86">
        <f>SUM(D6:D15)</f>
        <v>3178555</v>
      </c>
      <c r="E16" s="86">
        <f>SUM(E6:E15)</f>
        <v>2573150</v>
      </c>
      <c r="F16" s="86">
        <f>SUM(F6:F15)</f>
        <v>33127570</v>
      </c>
      <c r="G16" s="86">
        <f>SUM(G6:G15)</f>
        <v>1013698</v>
      </c>
    </row>
    <row r="17" spans="1:1" ht="24.95" customHeight="1">
      <c r="A17" s="2" t="s">
        <v>258</v>
      </c>
    </row>
    <row r="18" spans="1:1" ht="24.95" customHeight="1">
      <c r="A18" s="2" t="s">
        <v>259</v>
      </c>
    </row>
    <row r="19" spans="1:1" ht="24.95" customHeight="1">
      <c r="A19" s="2" t="s">
        <v>256</v>
      </c>
    </row>
  </sheetData>
  <mergeCells count="6">
    <mergeCell ref="B6:B14"/>
    <mergeCell ref="A1:G1"/>
    <mergeCell ref="A4:A5"/>
    <mergeCell ref="B4:B5"/>
    <mergeCell ref="C4:F4"/>
    <mergeCell ref="G4:G5"/>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28.xml><?xml version="1.0" encoding="utf-8"?>
<worksheet xmlns="http://schemas.openxmlformats.org/spreadsheetml/2006/main" xmlns:r="http://schemas.openxmlformats.org/officeDocument/2006/relationships">
  <dimension ref="A1:G19"/>
  <sheetViews>
    <sheetView view="pageBreakPreview" zoomScaleNormal="100" zoomScaleSheetLayoutView="100" workbookViewId="0">
      <selection activeCell="I18" sqref="I18"/>
    </sheetView>
  </sheetViews>
  <sheetFormatPr defaultRowHeight="24.95" customHeight="1"/>
  <cols>
    <col min="1" max="1" width="25.625" style="2" customWidth="1"/>
    <col min="2" max="2" width="9.125" style="2" customWidth="1"/>
    <col min="3" max="5" width="11.625" style="2" hidden="1" customWidth="1"/>
    <col min="6" max="7" width="24.125" style="2" customWidth="1"/>
    <col min="8" max="8" width="9" style="2"/>
    <col min="9" max="9" width="10.625" style="2" customWidth="1"/>
    <col min="10" max="10" width="9" style="2" customWidth="1"/>
    <col min="11" max="16384" width="9" style="2"/>
  </cols>
  <sheetData>
    <row r="1" spans="1:7" ht="39.950000000000003" customHeight="1">
      <c r="A1" s="165" t="s">
        <v>252</v>
      </c>
      <c r="B1" s="165"/>
      <c r="C1" s="165"/>
      <c r="D1" s="165"/>
      <c r="E1" s="165"/>
      <c r="F1" s="165"/>
      <c r="G1" s="165"/>
    </row>
    <row r="2" spans="1:7" ht="15" customHeight="1"/>
    <row r="3" spans="1:7" ht="24.95" customHeight="1">
      <c r="A3" s="24" t="str">
        <f>원가!A3</f>
        <v>▣ 건   명 : 경기상상캠퍼스 시설관리용역(시설, 미화, 경비)</v>
      </c>
      <c r="G3" s="43" t="s">
        <v>250</v>
      </c>
    </row>
    <row r="4" spans="1:7" ht="20.100000000000001" customHeight="1">
      <c r="A4" s="257" t="s">
        <v>241</v>
      </c>
      <c r="B4" s="259" t="s">
        <v>242</v>
      </c>
      <c r="C4" s="260" t="s">
        <v>243</v>
      </c>
      <c r="D4" s="261"/>
      <c r="E4" s="261"/>
      <c r="F4" s="262"/>
      <c r="G4" s="263" t="s">
        <v>244</v>
      </c>
    </row>
    <row r="5" spans="1:7" ht="20.100000000000001" customHeight="1">
      <c r="A5" s="258"/>
      <c r="B5" s="258"/>
      <c r="C5" s="102" t="s">
        <v>245</v>
      </c>
      <c r="D5" s="66" t="s">
        <v>246</v>
      </c>
      <c r="E5" s="66" t="s">
        <v>247</v>
      </c>
      <c r="F5" s="102" t="s">
        <v>254</v>
      </c>
      <c r="G5" s="264"/>
    </row>
    <row r="6" spans="1:7" ht="24" customHeight="1">
      <c r="A6" s="127" t="str">
        <f>인집!B6</f>
        <v>시설반장</v>
      </c>
      <c r="B6" s="255">
        <v>6.5500000000000003E-2</v>
      </c>
      <c r="C6" s="79"/>
      <c r="D6" s="79"/>
      <c r="E6" s="79"/>
      <c r="F6" s="79">
        <f>건강!G6</f>
        <v>105038</v>
      </c>
      <c r="G6" s="79">
        <f>INT(F6*$B$6)</f>
        <v>6879</v>
      </c>
    </row>
    <row r="7" spans="1:7" ht="24" customHeight="1">
      <c r="A7" s="127" t="str">
        <f>인집!B7</f>
        <v>기계담당</v>
      </c>
      <c r="B7" s="256"/>
      <c r="C7" s="79"/>
      <c r="D7" s="79"/>
      <c r="E7" s="79"/>
      <c r="F7" s="79">
        <f>건강!G7</f>
        <v>92631</v>
      </c>
      <c r="G7" s="79">
        <f>INT(F7*$B$6)</f>
        <v>6067</v>
      </c>
    </row>
    <row r="8" spans="1:7" ht="24" customHeight="1">
      <c r="A8" s="127" t="str">
        <f>인집!B8</f>
        <v>전기담당</v>
      </c>
      <c r="B8" s="256"/>
      <c r="C8" s="79"/>
      <c r="D8" s="79"/>
      <c r="E8" s="79"/>
      <c r="F8" s="79">
        <f>건강!G8</f>
        <v>92631</v>
      </c>
      <c r="G8" s="79">
        <f>INT(F8*$B$6)</f>
        <v>6067</v>
      </c>
    </row>
    <row r="9" spans="1:7" ht="24" customHeight="1">
      <c r="A9" s="127" t="str">
        <f>인집!B9</f>
        <v>영선담당</v>
      </c>
      <c r="B9" s="256"/>
      <c r="C9" s="79"/>
      <c r="D9" s="79"/>
      <c r="E9" s="79"/>
      <c r="F9" s="79">
        <f>건강!G9</f>
        <v>88013</v>
      </c>
      <c r="G9" s="79">
        <f t="shared" ref="G9:G14" si="0">INT(F9*$B$6)</f>
        <v>5764</v>
      </c>
    </row>
    <row r="10" spans="1:7" ht="24" customHeight="1">
      <c r="A10" s="127" t="str">
        <f>인집!B10</f>
        <v>조경담당</v>
      </c>
      <c r="B10" s="256"/>
      <c r="C10" s="79"/>
      <c r="D10" s="79"/>
      <c r="E10" s="79"/>
      <c r="F10" s="79">
        <f>건강!G10</f>
        <v>88013</v>
      </c>
      <c r="G10" s="79">
        <f t="shared" si="0"/>
        <v>5764</v>
      </c>
    </row>
    <row r="11" spans="1:7" ht="24" customHeight="1">
      <c r="A11" s="127" t="str">
        <f>인집!B11</f>
        <v>미화반장</v>
      </c>
      <c r="B11" s="256"/>
      <c r="C11" s="79"/>
      <c r="D11" s="79"/>
      <c r="E11" s="79"/>
      <c r="F11" s="79">
        <f>건강!G11</f>
        <v>67331</v>
      </c>
      <c r="G11" s="79">
        <f t="shared" si="0"/>
        <v>4410</v>
      </c>
    </row>
    <row r="12" spans="1:7" ht="24" customHeight="1">
      <c r="A12" s="127" t="str">
        <f>인집!B12</f>
        <v>미화원(남·여)</v>
      </c>
      <c r="B12" s="256"/>
      <c r="C12" s="79"/>
      <c r="D12" s="79"/>
      <c r="E12" s="79"/>
      <c r="F12" s="79">
        <f>건강!G12</f>
        <v>264844</v>
      </c>
      <c r="G12" s="79">
        <f t="shared" si="0"/>
        <v>17347</v>
      </c>
    </row>
    <row r="13" spans="1:7" ht="24" customHeight="1">
      <c r="A13" s="127" t="str">
        <f>인집!B13</f>
        <v>경비반장</v>
      </c>
      <c r="B13" s="256"/>
      <c r="C13" s="79"/>
      <c r="D13" s="79"/>
      <c r="E13" s="79"/>
      <c r="F13" s="79">
        <f>건강!G13</f>
        <v>76926</v>
      </c>
      <c r="G13" s="79">
        <f t="shared" si="0"/>
        <v>5038</v>
      </c>
    </row>
    <row r="14" spans="1:7" ht="24" customHeight="1">
      <c r="A14" s="127" t="str">
        <f>인집!B14</f>
        <v>경비원</v>
      </c>
      <c r="B14" s="256"/>
      <c r="C14" s="79"/>
      <c r="D14" s="79"/>
      <c r="E14" s="79"/>
      <c r="F14" s="79">
        <f>건강!G14</f>
        <v>138271</v>
      </c>
      <c r="G14" s="79">
        <f t="shared" si="0"/>
        <v>9056</v>
      </c>
    </row>
    <row r="15" spans="1:7" ht="24" customHeight="1" thickBot="1">
      <c r="A15" s="128"/>
      <c r="B15" s="85"/>
      <c r="C15" s="83"/>
      <c r="D15" s="83"/>
      <c r="E15" s="83"/>
      <c r="F15" s="83"/>
      <c r="G15" s="83"/>
    </row>
    <row r="16" spans="1:7" ht="24" customHeight="1" thickTop="1">
      <c r="A16" s="73" t="s">
        <v>139</v>
      </c>
      <c r="B16" s="88"/>
      <c r="C16" s="86"/>
      <c r="D16" s="86"/>
      <c r="E16" s="86"/>
      <c r="F16" s="86">
        <f>SUM(F6:F15)</f>
        <v>1013698</v>
      </c>
      <c r="G16" s="86">
        <f>SUM(G6:G15)</f>
        <v>66392</v>
      </c>
    </row>
    <row r="17" spans="1:1" ht="24.95" customHeight="1">
      <c r="A17" s="2" t="s">
        <v>257</v>
      </c>
    </row>
    <row r="18" spans="1:1" ht="24.95" customHeight="1">
      <c r="A18" s="2" t="s">
        <v>255</v>
      </c>
    </row>
    <row r="19" spans="1:1" ht="24.95" customHeight="1">
      <c r="A19" s="2" t="s">
        <v>264</v>
      </c>
    </row>
  </sheetData>
  <mergeCells count="6">
    <mergeCell ref="B6:B14"/>
    <mergeCell ref="A1:G1"/>
    <mergeCell ref="A4:A5"/>
    <mergeCell ref="B4:B5"/>
    <mergeCell ref="C4:F4"/>
    <mergeCell ref="G4:G5"/>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29.xml><?xml version="1.0" encoding="utf-8"?>
<worksheet xmlns="http://schemas.openxmlformats.org/spreadsheetml/2006/main" xmlns:r="http://schemas.openxmlformats.org/officeDocument/2006/relationships">
  <dimension ref="A1:G19"/>
  <sheetViews>
    <sheetView view="pageBreakPreview" zoomScaleNormal="100" zoomScaleSheetLayoutView="100" workbookViewId="0">
      <selection activeCell="I18" sqref="I18"/>
    </sheetView>
  </sheetViews>
  <sheetFormatPr defaultRowHeight="24.95" customHeight="1"/>
  <cols>
    <col min="1" max="1" width="15.625" style="2" customWidth="1"/>
    <col min="2" max="2" width="8.625" style="2" customWidth="1"/>
    <col min="3" max="7" width="11.625" style="2" customWidth="1"/>
    <col min="8" max="8" width="9" style="2"/>
    <col min="9" max="9" width="10.625" style="2" customWidth="1"/>
    <col min="10" max="10" width="9" style="2" customWidth="1"/>
    <col min="11" max="16384" width="9" style="2"/>
  </cols>
  <sheetData>
    <row r="1" spans="1:7" ht="39.950000000000003" customHeight="1">
      <c r="A1" s="165" t="s">
        <v>253</v>
      </c>
      <c r="B1" s="165"/>
      <c r="C1" s="165"/>
      <c r="D1" s="165"/>
      <c r="E1" s="165"/>
      <c r="F1" s="165"/>
      <c r="G1" s="165"/>
    </row>
    <row r="2" spans="1:7" ht="15" customHeight="1"/>
    <row r="3" spans="1:7" ht="24.95" customHeight="1">
      <c r="A3" s="24" t="str">
        <f>원가!A3</f>
        <v>▣ 건   명 : 경기상상캠퍼스 시설관리용역(시설, 미화, 경비)</v>
      </c>
      <c r="G3" s="43" t="s">
        <v>251</v>
      </c>
    </row>
    <row r="4" spans="1:7" ht="20.100000000000001" customHeight="1">
      <c r="A4" s="257" t="s">
        <v>241</v>
      </c>
      <c r="B4" s="259" t="s">
        <v>242</v>
      </c>
      <c r="C4" s="260" t="s">
        <v>243</v>
      </c>
      <c r="D4" s="261"/>
      <c r="E4" s="261"/>
      <c r="F4" s="262"/>
      <c r="G4" s="263" t="s">
        <v>244</v>
      </c>
    </row>
    <row r="5" spans="1:7" ht="20.100000000000001" customHeight="1">
      <c r="A5" s="258"/>
      <c r="B5" s="258"/>
      <c r="C5" s="102" t="s">
        <v>245</v>
      </c>
      <c r="D5" s="66" t="s">
        <v>246</v>
      </c>
      <c r="E5" s="66" t="s">
        <v>247</v>
      </c>
      <c r="F5" s="102" t="s">
        <v>88</v>
      </c>
      <c r="G5" s="264"/>
    </row>
    <row r="6" spans="1:7" ht="24" customHeight="1">
      <c r="A6" s="127" t="str">
        <f>인집!B6</f>
        <v>시설반장</v>
      </c>
      <c r="B6" s="255">
        <v>4.4999999999999998E-2</v>
      </c>
      <c r="C6" s="79">
        <f>인집!E6</f>
        <v>2807915</v>
      </c>
      <c r="D6" s="79">
        <f>인집!H6</f>
        <v>467985</v>
      </c>
      <c r="E6" s="79">
        <f>인집!K6</f>
        <v>156740</v>
      </c>
      <c r="F6" s="79">
        <f>SUM(C6:E6)</f>
        <v>3432640</v>
      </c>
      <c r="G6" s="79">
        <f>INT(F6*$B$6)</f>
        <v>154468</v>
      </c>
    </row>
    <row r="7" spans="1:7" ht="24" customHeight="1">
      <c r="A7" s="127" t="str">
        <f>인집!B7</f>
        <v>기계담당</v>
      </c>
      <c r="B7" s="256"/>
      <c r="C7" s="79">
        <f>인집!E7</f>
        <v>2559205</v>
      </c>
      <c r="D7" s="79">
        <f>인집!H7</f>
        <v>319900</v>
      </c>
      <c r="E7" s="79">
        <f>인집!K7</f>
        <v>148081</v>
      </c>
      <c r="F7" s="79">
        <f t="shared" ref="F7:F8" si="0">SUM(C7:E7)</f>
        <v>3027186</v>
      </c>
      <c r="G7" s="79">
        <f t="shared" ref="G7:G8" si="1">INT(F7*$B$6)</f>
        <v>136223</v>
      </c>
    </row>
    <row r="8" spans="1:7" ht="24" customHeight="1">
      <c r="A8" s="127" t="str">
        <f>인집!B8</f>
        <v>전기담당</v>
      </c>
      <c r="B8" s="256"/>
      <c r="C8" s="79">
        <f>인집!E8</f>
        <v>2559205</v>
      </c>
      <c r="D8" s="79">
        <f>인집!H8</f>
        <v>319900</v>
      </c>
      <c r="E8" s="79">
        <f>인집!K8</f>
        <v>148081</v>
      </c>
      <c r="F8" s="79">
        <f t="shared" si="0"/>
        <v>3027186</v>
      </c>
      <c r="G8" s="79">
        <f t="shared" si="1"/>
        <v>136223</v>
      </c>
    </row>
    <row r="9" spans="1:7" ht="24" customHeight="1">
      <c r="A9" s="127" t="str">
        <f>인집!B9</f>
        <v>영선담당</v>
      </c>
      <c r="B9" s="256"/>
      <c r="C9" s="79">
        <f>인집!E9</f>
        <v>2525138</v>
      </c>
      <c r="D9" s="79">
        <f>인집!H9</f>
        <v>210428</v>
      </c>
      <c r="E9" s="79">
        <f>인집!K9</f>
        <v>140696</v>
      </c>
      <c r="F9" s="79">
        <f t="shared" ref="F9:F14" si="2">SUM(C9:E9)</f>
        <v>2876262</v>
      </c>
      <c r="G9" s="79">
        <f t="shared" ref="G9:G14" si="3">INT(F9*$B$6)</f>
        <v>129431</v>
      </c>
    </row>
    <row r="10" spans="1:7" ht="24" customHeight="1">
      <c r="A10" s="127" t="str">
        <f>인집!B10</f>
        <v>조경담당</v>
      </c>
      <c r="B10" s="256"/>
      <c r="C10" s="79">
        <f>인집!E10</f>
        <v>2525138</v>
      </c>
      <c r="D10" s="79">
        <f>인집!H10</f>
        <v>210428</v>
      </c>
      <c r="E10" s="79">
        <f>인집!K10</f>
        <v>140696</v>
      </c>
      <c r="F10" s="79">
        <f t="shared" si="2"/>
        <v>2876262</v>
      </c>
      <c r="G10" s="79">
        <f t="shared" si="3"/>
        <v>129431</v>
      </c>
    </row>
    <row r="11" spans="1:7" ht="24" customHeight="1">
      <c r="A11" s="127" t="str">
        <f>인집!B11</f>
        <v>미화반장</v>
      </c>
      <c r="B11" s="256"/>
      <c r="C11" s="79">
        <f>인집!E11</f>
        <v>1799908</v>
      </c>
      <c r="D11" s="79">
        <f>인집!H11</f>
        <v>299984</v>
      </c>
      <c r="E11" s="79">
        <f>인집!K11</f>
        <v>100470</v>
      </c>
      <c r="F11" s="79">
        <f t="shared" si="2"/>
        <v>2200362</v>
      </c>
      <c r="G11" s="79">
        <f t="shared" si="3"/>
        <v>99016</v>
      </c>
    </row>
    <row r="12" spans="1:7" ht="24" customHeight="1">
      <c r="A12" s="127" t="str">
        <f>인집!B12</f>
        <v>미화원(남·여)</v>
      </c>
      <c r="B12" s="256"/>
      <c r="C12" s="79">
        <f>인집!E12</f>
        <v>7199632</v>
      </c>
      <c r="D12" s="79">
        <f>인집!H12</f>
        <v>899954</v>
      </c>
      <c r="E12" s="79">
        <f>인집!K12</f>
        <v>555474</v>
      </c>
      <c r="F12" s="79">
        <f t="shared" si="2"/>
        <v>8655060</v>
      </c>
      <c r="G12" s="79">
        <f t="shared" si="3"/>
        <v>389477</v>
      </c>
    </row>
    <row r="13" spans="1:7" ht="24" customHeight="1">
      <c r="A13" s="127" t="str">
        <f>인집!B13</f>
        <v>경비반장</v>
      </c>
      <c r="B13" s="256"/>
      <c r="C13" s="79">
        <f>인집!E13</f>
        <v>1799908</v>
      </c>
      <c r="D13" s="79">
        <f>인집!H13</f>
        <v>299984</v>
      </c>
      <c r="E13" s="79">
        <f>인집!K13</f>
        <v>414031</v>
      </c>
      <c r="F13" s="79">
        <f t="shared" si="2"/>
        <v>2513923</v>
      </c>
      <c r="G13" s="79">
        <f t="shared" si="3"/>
        <v>113126</v>
      </c>
    </row>
    <row r="14" spans="1:7" ht="24" customHeight="1">
      <c r="A14" s="127" t="str">
        <f>인집!B14</f>
        <v>경비원</v>
      </c>
      <c r="B14" s="256"/>
      <c r="C14" s="79">
        <f>인집!E14</f>
        <v>3599816</v>
      </c>
      <c r="D14" s="79">
        <f>인집!H14</f>
        <v>149992</v>
      </c>
      <c r="E14" s="79">
        <f>인집!K14</f>
        <v>768881</v>
      </c>
      <c r="F14" s="79">
        <f t="shared" si="2"/>
        <v>4518689</v>
      </c>
      <c r="G14" s="79">
        <f t="shared" si="3"/>
        <v>203341</v>
      </c>
    </row>
    <row r="15" spans="1:7" ht="24" customHeight="1" thickBot="1">
      <c r="A15" s="128"/>
      <c r="B15" s="85"/>
      <c r="C15" s="83"/>
      <c r="D15" s="83"/>
      <c r="E15" s="83"/>
      <c r="F15" s="83"/>
      <c r="G15" s="83"/>
    </row>
    <row r="16" spans="1:7" ht="24" customHeight="1" thickTop="1">
      <c r="A16" s="73" t="s">
        <v>139</v>
      </c>
      <c r="B16" s="88"/>
      <c r="C16" s="86">
        <f>SUM(C6:C15)</f>
        <v>27375865</v>
      </c>
      <c r="D16" s="86">
        <f>SUM(D6:D15)</f>
        <v>3178555</v>
      </c>
      <c r="E16" s="86">
        <f>SUM(E6:E15)</f>
        <v>2573150</v>
      </c>
      <c r="F16" s="86">
        <f>SUM(F6:F15)</f>
        <v>33127570</v>
      </c>
      <c r="G16" s="86">
        <f>SUM(G6:G15)</f>
        <v>1490736</v>
      </c>
    </row>
    <row r="17" spans="1:1" ht="24.95" customHeight="1">
      <c r="A17" s="2" t="s">
        <v>258</v>
      </c>
    </row>
    <row r="18" spans="1:1" ht="24.95" customHeight="1">
      <c r="A18" s="2" t="s">
        <v>261</v>
      </c>
    </row>
    <row r="19" spans="1:1" ht="24.95" customHeight="1">
      <c r="A19" s="2" t="s">
        <v>256</v>
      </c>
    </row>
  </sheetData>
  <mergeCells count="6">
    <mergeCell ref="B6:B14"/>
    <mergeCell ref="A1:G1"/>
    <mergeCell ref="A4:A5"/>
    <mergeCell ref="B4:B5"/>
    <mergeCell ref="C4:F4"/>
    <mergeCell ref="G4:G5"/>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3.xml><?xml version="1.0" encoding="utf-8"?>
<worksheet xmlns="http://schemas.openxmlformats.org/spreadsheetml/2006/main" xmlns:r="http://schemas.openxmlformats.org/officeDocument/2006/relationships">
  <dimension ref="A1:W17"/>
  <sheetViews>
    <sheetView view="pageBreakPreview" zoomScaleNormal="100" zoomScaleSheetLayoutView="100" workbookViewId="0">
      <selection activeCell="I18" sqref="I18"/>
    </sheetView>
  </sheetViews>
  <sheetFormatPr defaultRowHeight="30" customHeight="1"/>
  <cols>
    <col min="1" max="1" width="83.25" style="1" customWidth="1"/>
    <col min="2" max="16384" width="9" style="1"/>
  </cols>
  <sheetData>
    <row r="1" spans="1:23" s="2" customFormat="1" ht="45" customHeight="1">
      <c r="A1" s="12" t="s">
        <v>14</v>
      </c>
      <c r="B1" s="8"/>
      <c r="C1" s="8"/>
      <c r="D1" s="8"/>
      <c r="E1" s="8"/>
      <c r="F1" s="8"/>
      <c r="G1" s="8"/>
      <c r="H1" s="8"/>
      <c r="I1" s="8"/>
      <c r="J1" s="8"/>
      <c r="K1" s="8"/>
      <c r="L1" s="8"/>
      <c r="M1" s="8"/>
      <c r="N1" s="8"/>
      <c r="O1" s="8"/>
      <c r="P1" s="8"/>
      <c r="Q1" s="8"/>
      <c r="R1" s="8"/>
      <c r="S1" s="8"/>
      <c r="T1" s="8"/>
      <c r="U1" s="8"/>
      <c r="V1" s="8"/>
      <c r="W1" s="8"/>
    </row>
    <row r="3" spans="1:23" s="9" customFormat="1" ht="30" customHeight="1">
      <c r="A3" s="14" t="s">
        <v>15</v>
      </c>
    </row>
    <row r="4" spans="1:23" s="9" customFormat="1" ht="12" customHeight="1"/>
    <row r="5" spans="1:23" s="11" customFormat="1" ht="80.099999999999994" customHeight="1">
      <c r="A5" s="10" t="s">
        <v>394</v>
      </c>
    </row>
    <row r="6" spans="1:23" s="9" customFormat="1" ht="50.1" customHeight="1"/>
    <row r="7" spans="1:23" s="9" customFormat="1" ht="30" customHeight="1">
      <c r="A7" s="14" t="s">
        <v>16</v>
      </c>
    </row>
    <row r="8" spans="1:23" s="9" customFormat="1" ht="12.75" customHeight="1"/>
    <row r="9" spans="1:23" s="9" customFormat="1" ht="30" customHeight="1">
      <c r="A9" s="16" t="s">
        <v>17</v>
      </c>
    </row>
    <row r="10" spans="1:23" s="9" customFormat="1" ht="50.1" customHeight="1"/>
    <row r="11" spans="1:23" s="9" customFormat="1" ht="30" customHeight="1">
      <c r="A11" s="14" t="s">
        <v>18</v>
      </c>
    </row>
    <row r="12" spans="1:23" s="9" customFormat="1" ht="11.25" customHeight="1"/>
    <row r="13" spans="1:23" s="9" customFormat="1" ht="30" customHeight="1">
      <c r="A13" s="16" t="s">
        <v>336</v>
      </c>
    </row>
    <row r="14" spans="1:23" s="9" customFormat="1" ht="50.1" customHeight="1"/>
    <row r="15" spans="1:23" s="9" customFormat="1" ht="30" customHeight="1">
      <c r="A15" s="14" t="s">
        <v>19</v>
      </c>
    </row>
    <row r="16" spans="1:23" s="9" customFormat="1" ht="10.5" customHeight="1"/>
    <row r="17" spans="1:1" s="9" customFormat="1" ht="80.099999999999994" customHeight="1">
      <c r="A17" s="10" t="s">
        <v>395</v>
      </c>
    </row>
  </sheetData>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30.xml><?xml version="1.0" encoding="utf-8"?>
<worksheet xmlns="http://schemas.openxmlformats.org/spreadsheetml/2006/main" xmlns:r="http://schemas.openxmlformats.org/officeDocument/2006/relationships">
  <dimension ref="A1:G19"/>
  <sheetViews>
    <sheetView view="pageBreakPreview" zoomScaleNormal="100" zoomScaleSheetLayoutView="100" workbookViewId="0">
      <selection activeCell="I18" sqref="I18"/>
    </sheetView>
  </sheetViews>
  <sheetFormatPr defaultRowHeight="24.95" customHeight="1"/>
  <cols>
    <col min="1" max="1" width="15.625" style="2" customWidth="1"/>
    <col min="2" max="2" width="8.625" style="2" customWidth="1"/>
    <col min="3" max="7" width="11.625" style="2" customWidth="1"/>
    <col min="8" max="8" width="9" style="2"/>
    <col min="9" max="9" width="10.625" style="2" customWidth="1"/>
    <col min="10" max="10" width="9" style="2" customWidth="1"/>
    <col min="11" max="16384" width="9" style="2"/>
  </cols>
  <sheetData>
    <row r="1" spans="1:7" ht="39.950000000000003" customHeight="1">
      <c r="A1" s="165" t="s">
        <v>262</v>
      </c>
      <c r="B1" s="165"/>
      <c r="C1" s="165"/>
      <c r="D1" s="165"/>
      <c r="E1" s="165"/>
      <c r="F1" s="165"/>
      <c r="G1" s="165"/>
    </row>
    <row r="2" spans="1:7" ht="15" customHeight="1"/>
    <row r="3" spans="1:7" ht="24.95" customHeight="1">
      <c r="A3" s="24" t="str">
        <f>원가!A3</f>
        <v>▣ 건   명 : 경기상상캠퍼스 시설관리용역(시설, 미화, 경비)</v>
      </c>
      <c r="G3" s="43" t="s">
        <v>265</v>
      </c>
    </row>
    <row r="4" spans="1:7" ht="20.100000000000001" customHeight="1">
      <c r="A4" s="257" t="s">
        <v>241</v>
      </c>
      <c r="B4" s="259" t="s">
        <v>242</v>
      </c>
      <c r="C4" s="260" t="s">
        <v>243</v>
      </c>
      <c r="D4" s="261"/>
      <c r="E4" s="261"/>
      <c r="F4" s="262"/>
      <c r="G4" s="263" t="s">
        <v>244</v>
      </c>
    </row>
    <row r="5" spans="1:7" ht="20.100000000000001" customHeight="1">
      <c r="A5" s="258"/>
      <c r="B5" s="258"/>
      <c r="C5" s="102" t="s">
        <v>245</v>
      </c>
      <c r="D5" s="66" t="s">
        <v>246</v>
      </c>
      <c r="E5" s="66" t="s">
        <v>247</v>
      </c>
      <c r="F5" s="102" t="s">
        <v>88</v>
      </c>
      <c r="G5" s="264"/>
    </row>
    <row r="6" spans="1:7" ht="24" customHeight="1">
      <c r="A6" s="127" t="str">
        <f>인집!B6</f>
        <v>시설반장</v>
      </c>
      <c r="B6" s="255">
        <v>8.9999999999999993E-3</v>
      </c>
      <c r="C6" s="79">
        <f>인집!E6</f>
        <v>2807915</v>
      </c>
      <c r="D6" s="79">
        <f>인집!H6</f>
        <v>467985</v>
      </c>
      <c r="E6" s="79">
        <f>인집!K6</f>
        <v>156740</v>
      </c>
      <c r="F6" s="79">
        <f>SUM(C6:E6)</f>
        <v>3432640</v>
      </c>
      <c r="G6" s="79">
        <f>INT(F6*$B$6)</f>
        <v>30893</v>
      </c>
    </row>
    <row r="7" spans="1:7" ht="24" customHeight="1">
      <c r="A7" s="127" t="str">
        <f>인집!B7</f>
        <v>기계담당</v>
      </c>
      <c r="B7" s="256"/>
      <c r="C7" s="79">
        <f>인집!E7</f>
        <v>2559205</v>
      </c>
      <c r="D7" s="79">
        <f>인집!H7</f>
        <v>319900</v>
      </c>
      <c r="E7" s="79">
        <f>인집!K7</f>
        <v>148081</v>
      </c>
      <c r="F7" s="79">
        <f t="shared" ref="F7:F8" si="0">SUM(C7:E7)</f>
        <v>3027186</v>
      </c>
      <c r="G7" s="79">
        <f t="shared" ref="G7:G8" si="1">INT(F7*$B$6)</f>
        <v>27244</v>
      </c>
    </row>
    <row r="8" spans="1:7" ht="24" customHeight="1">
      <c r="A8" s="127" t="str">
        <f>인집!B8</f>
        <v>전기담당</v>
      </c>
      <c r="B8" s="256"/>
      <c r="C8" s="79">
        <f>인집!E8</f>
        <v>2559205</v>
      </c>
      <c r="D8" s="79">
        <f>인집!H8</f>
        <v>319900</v>
      </c>
      <c r="E8" s="79">
        <f>인집!K8</f>
        <v>148081</v>
      </c>
      <c r="F8" s="79">
        <f t="shared" si="0"/>
        <v>3027186</v>
      </c>
      <c r="G8" s="79">
        <f t="shared" si="1"/>
        <v>27244</v>
      </c>
    </row>
    <row r="9" spans="1:7" ht="24" customHeight="1">
      <c r="A9" s="127" t="str">
        <f>인집!B9</f>
        <v>영선담당</v>
      </c>
      <c r="B9" s="256"/>
      <c r="C9" s="79">
        <f>인집!E9</f>
        <v>2525138</v>
      </c>
      <c r="D9" s="79">
        <f>인집!H9</f>
        <v>210428</v>
      </c>
      <c r="E9" s="79">
        <f>인집!K9</f>
        <v>140696</v>
      </c>
      <c r="F9" s="79">
        <f t="shared" ref="F9:F14" si="2">SUM(C9:E9)</f>
        <v>2876262</v>
      </c>
      <c r="G9" s="79">
        <f t="shared" ref="G9:G14" si="3">INT(F9*$B$6)</f>
        <v>25886</v>
      </c>
    </row>
    <row r="10" spans="1:7" ht="24" customHeight="1">
      <c r="A10" s="127" t="str">
        <f>인집!B10</f>
        <v>조경담당</v>
      </c>
      <c r="B10" s="256"/>
      <c r="C10" s="79">
        <f>인집!E10</f>
        <v>2525138</v>
      </c>
      <c r="D10" s="79">
        <f>인집!H10</f>
        <v>210428</v>
      </c>
      <c r="E10" s="79">
        <f>인집!K10</f>
        <v>140696</v>
      </c>
      <c r="F10" s="79">
        <f t="shared" si="2"/>
        <v>2876262</v>
      </c>
      <c r="G10" s="79">
        <f t="shared" si="3"/>
        <v>25886</v>
      </c>
    </row>
    <row r="11" spans="1:7" ht="24" customHeight="1">
      <c r="A11" s="127" t="str">
        <f>인집!B11</f>
        <v>미화반장</v>
      </c>
      <c r="B11" s="256"/>
      <c r="C11" s="79">
        <f>인집!E11</f>
        <v>1799908</v>
      </c>
      <c r="D11" s="79">
        <f>인집!H11</f>
        <v>299984</v>
      </c>
      <c r="E11" s="79">
        <f>인집!K11</f>
        <v>100470</v>
      </c>
      <c r="F11" s="79">
        <f t="shared" si="2"/>
        <v>2200362</v>
      </c>
      <c r="G11" s="79">
        <f t="shared" si="3"/>
        <v>19803</v>
      </c>
    </row>
    <row r="12" spans="1:7" ht="24" customHeight="1">
      <c r="A12" s="127" t="str">
        <f>인집!B12</f>
        <v>미화원(남·여)</v>
      </c>
      <c r="B12" s="256"/>
      <c r="C12" s="79">
        <f>인집!E12</f>
        <v>7199632</v>
      </c>
      <c r="D12" s="79">
        <f>인집!H12</f>
        <v>899954</v>
      </c>
      <c r="E12" s="79">
        <f>인집!K12</f>
        <v>555474</v>
      </c>
      <c r="F12" s="79">
        <f t="shared" si="2"/>
        <v>8655060</v>
      </c>
      <c r="G12" s="79">
        <f t="shared" si="3"/>
        <v>77895</v>
      </c>
    </row>
    <row r="13" spans="1:7" ht="24" customHeight="1">
      <c r="A13" s="127" t="str">
        <f>인집!B13</f>
        <v>경비반장</v>
      </c>
      <c r="B13" s="256"/>
      <c r="C13" s="79">
        <f>인집!E13</f>
        <v>1799908</v>
      </c>
      <c r="D13" s="79">
        <f>인집!H13</f>
        <v>299984</v>
      </c>
      <c r="E13" s="79">
        <f>인집!K13</f>
        <v>414031</v>
      </c>
      <c r="F13" s="79">
        <f t="shared" si="2"/>
        <v>2513923</v>
      </c>
      <c r="G13" s="79">
        <f t="shared" si="3"/>
        <v>22625</v>
      </c>
    </row>
    <row r="14" spans="1:7" ht="24" customHeight="1">
      <c r="A14" s="127" t="str">
        <f>인집!B14</f>
        <v>경비원</v>
      </c>
      <c r="B14" s="256"/>
      <c r="C14" s="79">
        <f>인집!E14</f>
        <v>3599816</v>
      </c>
      <c r="D14" s="79">
        <f>인집!H14</f>
        <v>149992</v>
      </c>
      <c r="E14" s="79">
        <f>인집!K14</f>
        <v>768881</v>
      </c>
      <c r="F14" s="79">
        <f t="shared" si="2"/>
        <v>4518689</v>
      </c>
      <c r="G14" s="79">
        <f t="shared" si="3"/>
        <v>40668</v>
      </c>
    </row>
    <row r="15" spans="1:7" ht="24" customHeight="1" thickBot="1">
      <c r="A15" s="128"/>
      <c r="B15" s="85"/>
      <c r="C15" s="83"/>
      <c r="D15" s="83"/>
      <c r="E15" s="83"/>
      <c r="F15" s="83"/>
      <c r="G15" s="83"/>
    </row>
    <row r="16" spans="1:7" ht="24" customHeight="1" thickTop="1">
      <c r="A16" s="73" t="s">
        <v>139</v>
      </c>
      <c r="B16" s="88"/>
      <c r="C16" s="86">
        <f>SUM(C6:C15)</f>
        <v>27375865</v>
      </c>
      <c r="D16" s="86">
        <f>SUM(D6:D15)</f>
        <v>3178555</v>
      </c>
      <c r="E16" s="86">
        <f>SUM(E6:E15)</f>
        <v>2573150</v>
      </c>
      <c r="F16" s="86">
        <f>SUM(F6:F15)</f>
        <v>33127570</v>
      </c>
      <c r="G16" s="86">
        <f>SUM(G6:G15)</f>
        <v>298144</v>
      </c>
    </row>
    <row r="17" spans="1:1" ht="24.95" customHeight="1">
      <c r="A17" s="2" t="s">
        <v>258</v>
      </c>
    </row>
    <row r="18" spans="1:1" ht="24.95" customHeight="1">
      <c r="A18" s="2" t="s">
        <v>263</v>
      </c>
    </row>
    <row r="19" spans="1:1" ht="24.95" customHeight="1">
      <c r="A19" s="2" t="s">
        <v>256</v>
      </c>
    </row>
  </sheetData>
  <mergeCells count="6">
    <mergeCell ref="B6:B14"/>
    <mergeCell ref="A1:G1"/>
    <mergeCell ref="A4:A5"/>
    <mergeCell ref="B4:B5"/>
    <mergeCell ref="C4:F4"/>
    <mergeCell ref="G4:G5"/>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31.xml><?xml version="1.0" encoding="utf-8"?>
<worksheet xmlns="http://schemas.openxmlformats.org/spreadsheetml/2006/main" xmlns:r="http://schemas.openxmlformats.org/officeDocument/2006/relationships">
  <dimension ref="A1:G19"/>
  <sheetViews>
    <sheetView view="pageBreakPreview" zoomScaleNormal="100" zoomScaleSheetLayoutView="100" workbookViewId="0">
      <selection activeCell="I18" sqref="I18"/>
    </sheetView>
  </sheetViews>
  <sheetFormatPr defaultRowHeight="24.95" customHeight="1"/>
  <cols>
    <col min="1" max="1" width="15.625" style="2" customWidth="1"/>
    <col min="2" max="2" width="8.625" style="2" customWidth="1"/>
    <col min="3" max="7" width="11.625" style="2" customWidth="1"/>
    <col min="8" max="8" width="9" style="2"/>
    <col min="9" max="9" width="10.625" style="2" customWidth="1"/>
    <col min="10" max="10" width="9" style="2" customWidth="1"/>
    <col min="11" max="16384" width="9" style="2"/>
  </cols>
  <sheetData>
    <row r="1" spans="1:7" ht="39.950000000000003" customHeight="1">
      <c r="A1" s="165" t="s">
        <v>266</v>
      </c>
      <c r="B1" s="165"/>
      <c r="C1" s="165"/>
      <c r="D1" s="165"/>
      <c r="E1" s="165"/>
      <c r="F1" s="165"/>
      <c r="G1" s="165"/>
    </row>
    <row r="2" spans="1:7" ht="15" customHeight="1"/>
    <row r="3" spans="1:7" ht="24.95" customHeight="1">
      <c r="A3" s="24" t="str">
        <f>원가!A3</f>
        <v>▣ 건   명 : 경기상상캠퍼스 시설관리용역(시설, 미화, 경비)</v>
      </c>
      <c r="G3" s="43" t="s">
        <v>267</v>
      </c>
    </row>
    <row r="4" spans="1:7" ht="20.100000000000001" customHeight="1">
      <c r="A4" s="257" t="s">
        <v>241</v>
      </c>
      <c r="B4" s="259" t="s">
        <v>242</v>
      </c>
      <c r="C4" s="260" t="s">
        <v>243</v>
      </c>
      <c r="D4" s="261"/>
      <c r="E4" s="261"/>
      <c r="F4" s="262"/>
      <c r="G4" s="263" t="s">
        <v>244</v>
      </c>
    </row>
    <row r="5" spans="1:7" ht="20.100000000000001" customHeight="1">
      <c r="A5" s="258"/>
      <c r="B5" s="258"/>
      <c r="C5" s="102" t="s">
        <v>245</v>
      </c>
      <c r="D5" s="66" t="s">
        <v>246</v>
      </c>
      <c r="E5" s="66" t="s">
        <v>247</v>
      </c>
      <c r="F5" s="102" t="s">
        <v>88</v>
      </c>
      <c r="G5" s="264"/>
    </row>
    <row r="6" spans="1:7" ht="24" customHeight="1">
      <c r="A6" s="127" t="str">
        <f>인집!B6</f>
        <v>시설반장</v>
      </c>
      <c r="B6" s="255">
        <v>5.9999999999999995E-4</v>
      </c>
      <c r="C6" s="79">
        <f>인집!E6</f>
        <v>2807915</v>
      </c>
      <c r="D6" s="79">
        <f>인집!H6</f>
        <v>467985</v>
      </c>
      <c r="E6" s="79">
        <f>인집!K6</f>
        <v>156740</v>
      </c>
      <c r="F6" s="79">
        <f>SUM(C6:E6)</f>
        <v>3432640</v>
      </c>
      <c r="G6" s="79">
        <f>INT(F6*$B$6)</f>
        <v>2059</v>
      </c>
    </row>
    <row r="7" spans="1:7" ht="24" customHeight="1">
      <c r="A7" s="127" t="str">
        <f>인집!B7</f>
        <v>기계담당</v>
      </c>
      <c r="B7" s="256"/>
      <c r="C7" s="79">
        <f>인집!E7</f>
        <v>2559205</v>
      </c>
      <c r="D7" s="79">
        <f>인집!H7</f>
        <v>319900</v>
      </c>
      <c r="E7" s="79">
        <f>인집!K7</f>
        <v>148081</v>
      </c>
      <c r="F7" s="79">
        <f t="shared" ref="F7:F8" si="0">SUM(C7:E7)</f>
        <v>3027186</v>
      </c>
      <c r="G7" s="79">
        <f t="shared" ref="G7:G8" si="1">INT(F7*$B$6)</f>
        <v>1816</v>
      </c>
    </row>
    <row r="8" spans="1:7" ht="24" customHeight="1">
      <c r="A8" s="127" t="str">
        <f>인집!B8</f>
        <v>전기담당</v>
      </c>
      <c r="B8" s="256"/>
      <c r="C8" s="79">
        <f>인집!E8</f>
        <v>2559205</v>
      </c>
      <c r="D8" s="79">
        <f>인집!H8</f>
        <v>319900</v>
      </c>
      <c r="E8" s="79">
        <f>인집!K8</f>
        <v>148081</v>
      </c>
      <c r="F8" s="79">
        <f t="shared" si="0"/>
        <v>3027186</v>
      </c>
      <c r="G8" s="79">
        <f t="shared" si="1"/>
        <v>1816</v>
      </c>
    </row>
    <row r="9" spans="1:7" ht="24" customHeight="1">
      <c r="A9" s="127" t="str">
        <f>인집!B9</f>
        <v>영선담당</v>
      </c>
      <c r="B9" s="256"/>
      <c r="C9" s="79">
        <f>인집!E9</f>
        <v>2525138</v>
      </c>
      <c r="D9" s="79">
        <f>인집!H9</f>
        <v>210428</v>
      </c>
      <c r="E9" s="79">
        <f>인집!K9</f>
        <v>140696</v>
      </c>
      <c r="F9" s="79">
        <f t="shared" ref="F9:F14" si="2">SUM(C9:E9)</f>
        <v>2876262</v>
      </c>
      <c r="G9" s="79">
        <f t="shared" ref="G9:G14" si="3">INT(F9*$B$6)</f>
        <v>1725</v>
      </c>
    </row>
    <row r="10" spans="1:7" ht="24" customHeight="1">
      <c r="A10" s="127" t="str">
        <f>인집!B10</f>
        <v>조경담당</v>
      </c>
      <c r="B10" s="256"/>
      <c r="C10" s="79">
        <f>인집!E10</f>
        <v>2525138</v>
      </c>
      <c r="D10" s="79">
        <f>인집!H10</f>
        <v>210428</v>
      </c>
      <c r="E10" s="79">
        <f>인집!K10</f>
        <v>140696</v>
      </c>
      <c r="F10" s="79">
        <f t="shared" si="2"/>
        <v>2876262</v>
      </c>
      <c r="G10" s="79">
        <f t="shared" si="3"/>
        <v>1725</v>
      </c>
    </row>
    <row r="11" spans="1:7" ht="24" customHeight="1">
      <c r="A11" s="127" t="str">
        <f>인집!B11</f>
        <v>미화반장</v>
      </c>
      <c r="B11" s="256"/>
      <c r="C11" s="79">
        <f>인집!E11</f>
        <v>1799908</v>
      </c>
      <c r="D11" s="79">
        <f>인집!H11</f>
        <v>299984</v>
      </c>
      <c r="E11" s="79">
        <f>인집!K11</f>
        <v>100470</v>
      </c>
      <c r="F11" s="79">
        <f t="shared" si="2"/>
        <v>2200362</v>
      </c>
      <c r="G11" s="79">
        <f t="shared" si="3"/>
        <v>1320</v>
      </c>
    </row>
    <row r="12" spans="1:7" ht="24" customHeight="1">
      <c r="A12" s="127" t="str">
        <f>인집!B12</f>
        <v>미화원(남·여)</v>
      </c>
      <c r="B12" s="256"/>
      <c r="C12" s="79">
        <f>인집!E12</f>
        <v>7199632</v>
      </c>
      <c r="D12" s="79">
        <f>인집!H12</f>
        <v>899954</v>
      </c>
      <c r="E12" s="79">
        <f>인집!K12</f>
        <v>555474</v>
      </c>
      <c r="F12" s="79">
        <f t="shared" si="2"/>
        <v>8655060</v>
      </c>
      <c r="G12" s="79">
        <f t="shared" si="3"/>
        <v>5193</v>
      </c>
    </row>
    <row r="13" spans="1:7" ht="24" customHeight="1">
      <c r="A13" s="127" t="str">
        <f>인집!B13</f>
        <v>경비반장</v>
      </c>
      <c r="B13" s="256"/>
      <c r="C13" s="79">
        <f>인집!E13</f>
        <v>1799908</v>
      </c>
      <c r="D13" s="79">
        <f>인집!H13</f>
        <v>299984</v>
      </c>
      <c r="E13" s="79">
        <f>인집!K13</f>
        <v>414031</v>
      </c>
      <c r="F13" s="79">
        <f t="shared" si="2"/>
        <v>2513923</v>
      </c>
      <c r="G13" s="79">
        <f t="shared" si="3"/>
        <v>1508</v>
      </c>
    </row>
    <row r="14" spans="1:7" ht="24" customHeight="1">
      <c r="A14" s="127" t="str">
        <f>인집!B14</f>
        <v>경비원</v>
      </c>
      <c r="B14" s="256"/>
      <c r="C14" s="79">
        <f>인집!E14</f>
        <v>3599816</v>
      </c>
      <c r="D14" s="79">
        <f>인집!H14</f>
        <v>149992</v>
      </c>
      <c r="E14" s="79">
        <f>인집!K14</f>
        <v>768881</v>
      </c>
      <c r="F14" s="79">
        <f t="shared" si="2"/>
        <v>4518689</v>
      </c>
      <c r="G14" s="79">
        <f t="shared" si="3"/>
        <v>2711</v>
      </c>
    </row>
    <row r="15" spans="1:7" ht="24" customHeight="1" thickBot="1">
      <c r="A15" s="128"/>
      <c r="B15" s="85"/>
      <c r="C15" s="83"/>
      <c r="D15" s="83"/>
      <c r="E15" s="83"/>
      <c r="F15" s="83"/>
      <c r="G15" s="83"/>
    </row>
    <row r="16" spans="1:7" ht="24" customHeight="1" thickTop="1">
      <c r="A16" s="73" t="s">
        <v>139</v>
      </c>
      <c r="B16" s="88"/>
      <c r="C16" s="86">
        <f>SUM(C6:C15)</f>
        <v>27375865</v>
      </c>
      <c r="D16" s="86">
        <f>SUM(D6:D15)</f>
        <v>3178555</v>
      </c>
      <c r="E16" s="86">
        <f>SUM(E6:E15)</f>
        <v>2573150</v>
      </c>
      <c r="F16" s="86">
        <f>SUM(F6:F15)</f>
        <v>33127570</v>
      </c>
      <c r="G16" s="86">
        <f>SUM(G6:G15)</f>
        <v>19873</v>
      </c>
    </row>
    <row r="17" spans="1:1" ht="24.95" customHeight="1">
      <c r="A17" s="2" t="s">
        <v>258</v>
      </c>
    </row>
    <row r="18" spans="1:1" ht="24.95" customHeight="1">
      <c r="A18" s="2" t="s">
        <v>271</v>
      </c>
    </row>
    <row r="19" spans="1:1" ht="24.95" customHeight="1">
      <c r="A19" s="2" t="s">
        <v>256</v>
      </c>
    </row>
  </sheetData>
  <mergeCells count="6">
    <mergeCell ref="B6:B14"/>
    <mergeCell ref="A1:G1"/>
    <mergeCell ref="A4:A5"/>
    <mergeCell ref="B4:B5"/>
    <mergeCell ref="C4:F4"/>
    <mergeCell ref="G4:G5"/>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32.xml><?xml version="1.0" encoding="utf-8"?>
<worksheet xmlns="http://schemas.openxmlformats.org/spreadsheetml/2006/main" xmlns:r="http://schemas.openxmlformats.org/officeDocument/2006/relationships">
  <dimension ref="A1:G14"/>
  <sheetViews>
    <sheetView view="pageBreakPreview" zoomScaleNormal="100" zoomScaleSheetLayoutView="100" workbookViewId="0">
      <selection activeCell="L16" sqref="L16"/>
    </sheetView>
  </sheetViews>
  <sheetFormatPr defaultRowHeight="24.95" customHeight="1"/>
  <cols>
    <col min="1" max="1" width="15.625" style="2" customWidth="1"/>
    <col min="2" max="2" width="8.625" style="2" customWidth="1"/>
    <col min="3" max="7" width="11.625" style="2" customWidth="1"/>
    <col min="8" max="8" width="9" style="2"/>
    <col min="9" max="9" width="10.625" style="2" customWidth="1"/>
    <col min="10" max="10" width="9" style="2" customWidth="1"/>
    <col min="11" max="16384" width="9" style="2"/>
  </cols>
  <sheetData>
    <row r="1" spans="1:7" ht="39.950000000000003" customHeight="1">
      <c r="A1" s="165" t="s">
        <v>268</v>
      </c>
      <c r="B1" s="165"/>
      <c r="C1" s="165"/>
      <c r="D1" s="165"/>
      <c r="E1" s="165"/>
      <c r="F1" s="165"/>
      <c r="G1" s="165"/>
    </row>
    <row r="2" spans="1:7" ht="15" customHeight="1"/>
    <row r="3" spans="1:7" ht="24.95" customHeight="1">
      <c r="A3" s="24" t="str">
        <f>원가!A3</f>
        <v>▣ 건   명 : 경기상상캠퍼스 시설관리용역(시설, 미화, 경비)</v>
      </c>
      <c r="G3" s="43" t="s">
        <v>269</v>
      </c>
    </row>
    <row r="4" spans="1:7" ht="20.100000000000001" customHeight="1">
      <c r="A4" s="257" t="s">
        <v>241</v>
      </c>
      <c r="B4" s="259" t="s">
        <v>242</v>
      </c>
      <c r="C4" s="260" t="s">
        <v>243</v>
      </c>
      <c r="D4" s="261"/>
      <c r="E4" s="261"/>
      <c r="F4" s="262"/>
      <c r="G4" s="263" t="s">
        <v>244</v>
      </c>
    </row>
    <row r="5" spans="1:7" ht="20.100000000000001" customHeight="1">
      <c r="A5" s="258"/>
      <c r="B5" s="258"/>
      <c r="C5" s="102" t="s">
        <v>245</v>
      </c>
      <c r="D5" s="66" t="s">
        <v>246</v>
      </c>
      <c r="E5" s="66" t="s">
        <v>247</v>
      </c>
      <c r="F5" s="102" t="s">
        <v>88</v>
      </c>
      <c r="G5" s="264"/>
    </row>
    <row r="6" spans="1:7" ht="24" customHeight="1">
      <c r="A6" s="127" t="str">
        <f>인집!B6</f>
        <v>시설반장</v>
      </c>
      <c r="B6" s="265">
        <v>3.0000000000000001E-5</v>
      </c>
      <c r="C6" s="79">
        <f>인집!E6</f>
        <v>2807915</v>
      </c>
      <c r="D6" s="79">
        <f>인집!H6</f>
        <v>467985</v>
      </c>
      <c r="E6" s="79">
        <f>인집!K6</f>
        <v>156740</v>
      </c>
      <c r="F6" s="79">
        <f>SUM(C6:E6)</f>
        <v>3432640</v>
      </c>
      <c r="G6" s="79">
        <f>INT(F6*$B$6)</f>
        <v>102</v>
      </c>
    </row>
    <row r="7" spans="1:7" ht="24" customHeight="1">
      <c r="A7" s="127" t="str">
        <f>인집!B7</f>
        <v>기계담당</v>
      </c>
      <c r="B7" s="266"/>
      <c r="C7" s="79">
        <f>인집!E7</f>
        <v>2559205</v>
      </c>
      <c r="D7" s="79">
        <f>인집!H7</f>
        <v>319900</v>
      </c>
      <c r="E7" s="79">
        <f>인집!K7</f>
        <v>148081</v>
      </c>
      <c r="F7" s="79">
        <f t="shared" ref="F7:F9" si="0">SUM(C7:E7)</f>
        <v>3027186</v>
      </c>
      <c r="G7" s="79">
        <f t="shared" ref="G7:G9" si="1">INT(F7*$B$6)</f>
        <v>90</v>
      </c>
    </row>
    <row r="8" spans="1:7" ht="24" customHeight="1">
      <c r="A8" s="127" t="str">
        <f>인집!B8</f>
        <v>전기담당</v>
      </c>
      <c r="B8" s="266"/>
      <c r="C8" s="79">
        <f>인집!E8</f>
        <v>2559205</v>
      </c>
      <c r="D8" s="79">
        <f>인집!H8</f>
        <v>319900</v>
      </c>
      <c r="E8" s="79">
        <f>인집!K8</f>
        <v>148081</v>
      </c>
      <c r="F8" s="79">
        <f t="shared" si="0"/>
        <v>3027186</v>
      </c>
      <c r="G8" s="79">
        <f t="shared" si="1"/>
        <v>90</v>
      </c>
    </row>
    <row r="9" spans="1:7" ht="24" customHeight="1">
      <c r="A9" s="127" t="str">
        <f>인집!B9</f>
        <v>영선담당</v>
      </c>
      <c r="B9" s="266"/>
      <c r="C9" s="79">
        <f>인집!E9</f>
        <v>2525138</v>
      </c>
      <c r="D9" s="79">
        <f>인집!H9</f>
        <v>210428</v>
      </c>
      <c r="E9" s="79">
        <f>인집!K9</f>
        <v>140696</v>
      </c>
      <c r="F9" s="79">
        <f t="shared" si="0"/>
        <v>2876262</v>
      </c>
      <c r="G9" s="79">
        <f t="shared" si="1"/>
        <v>86</v>
      </c>
    </row>
    <row r="10" spans="1:7" ht="24" customHeight="1" thickBot="1">
      <c r="A10" s="128"/>
      <c r="B10" s="85"/>
      <c r="C10" s="83"/>
      <c r="D10" s="83"/>
      <c r="E10" s="83"/>
      <c r="F10" s="83"/>
      <c r="G10" s="83"/>
    </row>
    <row r="11" spans="1:7" ht="24" customHeight="1" thickTop="1">
      <c r="A11" s="73" t="s">
        <v>139</v>
      </c>
      <c r="B11" s="88"/>
      <c r="C11" s="86">
        <f>SUM(C6:C10)</f>
        <v>10451463</v>
      </c>
      <c r="D11" s="86">
        <f>SUM(D6:D10)</f>
        <v>1318213</v>
      </c>
      <c r="E11" s="86">
        <f>SUM(E6:E10)</f>
        <v>593598</v>
      </c>
      <c r="F11" s="86">
        <f>SUM(F6:F10)</f>
        <v>12363274</v>
      </c>
      <c r="G11" s="86">
        <f>SUM(G6:G10)</f>
        <v>368</v>
      </c>
    </row>
    <row r="12" spans="1:7" ht="24.95" customHeight="1">
      <c r="A12" s="2" t="s">
        <v>258</v>
      </c>
    </row>
    <row r="13" spans="1:7" ht="24.95" customHeight="1">
      <c r="A13" s="2" t="s">
        <v>270</v>
      </c>
    </row>
    <row r="14" spans="1:7" ht="24.95" customHeight="1">
      <c r="A14" s="2" t="s">
        <v>256</v>
      </c>
    </row>
  </sheetData>
  <mergeCells count="6">
    <mergeCell ref="B6:B9"/>
    <mergeCell ref="A1:G1"/>
    <mergeCell ref="A4:A5"/>
    <mergeCell ref="B4:B5"/>
    <mergeCell ref="C4:F4"/>
    <mergeCell ref="G4:G5"/>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33.xml><?xml version="1.0" encoding="utf-8"?>
<worksheet xmlns="http://schemas.openxmlformats.org/spreadsheetml/2006/main" xmlns:r="http://schemas.openxmlformats.org/officeDocument/2006/relationships">
  <dimension ref="A1:A2"/>
  <sheetViews>
    <sheetView view="pageBreakPreview" zoomScaleNormal="100" zoomScaleSheetLayoutView="100" workbookViewId="0">
      <selection activeCell="I18" sqref="I18"/>
    </sheetView>
  </sheetViews>
  <sheetFormatPr defaultRowHeight="30" customHeight="1"/>
  <cols>
    <col min="1" max="1" width="83.25" style="2" customWidth="1"/>
    <col min="2" max="16384" width="9" style="2"/>
  </cols>
  <sheetData>
    <row r="1" spans="1:1" ht="45" customHeight="1">
      <c r="A1" s="23" t="s">
        <v>28</v>
      </c>
    </row>
    <row r="2" spans="1:1" ht="45" customHeight="1"/>
  </sheetData>
  <phoneticPr fontId="4" type="noConversion"/>
  <pageMargins left="0.59055118110236227" right="0.59055118110236227" top="3.1496062992125986" bottom="6.87" header="0.70866141732283472" footer="0.51181102362204722"/>
  <pageSetup paperSize="9" orientation="portrait" r:id="rId1"/>
</worksheet>
</file>

<file path=xl/worksheets/sheet34.xml><?xml version="1.0" encoding="utf-8"?>
<worksheet xmlns="http://schemas.openxmlformats.org/spreadsheetml/2006/main" xmlns:r="http://schemas.openxmlformats.org/officeDocument/2006/relationships">
  <dimension ref="A1:H4"/>
  <sheetViews>
    <sheetView view="pageBreakPreview" zoomScaleNormal="100" zoomScaleSheetLayoutView="100" workbookViewId="0">
      <selection activeCell="O16" sqref="O16"/>
    </sheetView>
  </sheetViews>
  <sheetFormatPr defaultRowHeight="24.95" customHeight="1"/>
  <cols>
    <col min="1" max="8" width="8.625" style="2" customWidth="1"/>
    <col min="9" max="9" width="9" style="2"/>
    <col min="10" max="10" width="10.625" style="2" customWidth="1"/>
    <col min="11" max="11" width="9" style="2" customWidth="1"/>
    <col min="12" max="16384" width="9" style="2"/>
  </cols>
  <sheetData>
    <row r="1" spans="1:8" ht="39.950000000000003" customHeight="1">
      <c r="A1" s="165" t="s">
        <v>79</v>
      </c>
      <c r="B1" s="165"/>
      <c r="C1" s="165"/>
      <c r="D1" s="165"/>
      <c r="E1" s="165"/>
      <c r="F1" s="165"/>
      <c r="G1" s="165"/>
      <c r="H1" s="165"/>
    </row>
    <row r="2" spans="1:8" ht="15" customHeight="1"/>
    <row r="3" spans="1:8" ht="24.95" customHeight="1">
      <c r="A3" s="24" t="str">
        <f>원가!A3</f>
        <v>▣ 건   명 : 경기상상캠퍼스 시설관리용역(시설, 미화, 경비)</v>
      </c>
      <c r="H3" s="43" t="s">
        <v>80</v>
      </c>
    </row>
    <row r="4" spans="1:8" ht="30" customHeight="1">
      <c r="A4" s="45"/>
      <c r="B4" s="45"/>
      <c r="C4" s="45"/>
      <c r="D4" s="45"/>
      <c r="E4" s="45"/>
      <c r="F4" s="45"/>
      <c r="G4" s="45"/>
      <c r="H4" s="45"/>
    </row>
  </sheetData>
  <mergeCells count="1">
    <mergeCell ref="A1:H1"/>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35.xml><?xml version="1.0" encoding="utf-8"?>
<worksheet xmlns="http://schemas.openxmlformats.org/spreadsheetml/2006/main" xmlns:r="http://schemas.openxmlformats.org/officeDocument/2006/relationships">
  <dimension ref="A1:H4"/>
  <sheetViews>
    <sheetView view="pageBreakPreview" zoomScale="60" zoomScaleNormal="100" workbookViewId="0">
      <selection activeCell="O16" sqref="O16"/>
    </sheetView>
  </sheetViews>
  <sheetFormatPr defaultRowHeight="24.95" customHeight="1"/>
  <cols>
    <col min="1" max="16384" width="9" style="2"/>
  </cols>
  <sheetData>
    <row r="1" spans="1:8" ht="39.950000000000003" customHeight="1">
      <c r="A1" s="165" t="s">
        <v>79</v>
      </c>
      <c r="B1" s="165"/>
      <c r="C1" s="165"/>
      <c r="D1" s="165"/>
      <c r="E1" s="165"/>
      <c r="F1" s="165"/>
      <c r="G1" s="165"/>
      <c r="H1" s="165"/>
    </row>
    <row r="2" spans="1:8" ht="15" customHeight="1"/>
    <row r="3" spans="1:8" ht="24.95" customHeight="1">
      <c r="A3" s="24" t="str">
        <f>원가!A3</f>
        <v>▣ 건   명 : 경기상상캠퍼스 시설관리용역(시설, 미화, 경비)</v>
      </c>
      <c r="H3" s="43" t="s">
        <v>80</v>
      </c>
    </row>
    <row r="4" spans="1:8" ht="30" customHeight="1">
      <c r="A4" s="45"/>
      <c r="B4" s="45"/>
      <c r="C4" s="45"/>
      <c r="D4" s="45"/>
      <c r="E4" s="45"/>
      <c r="F4" s="45"/>
      <c r="G4" s="45"/>
      <c r="H4" s="45"/>
    </row>
  </sheetData>
  <mergeCells count="1">
    <mergeCell ref="A1:H1"/>
  </mergeCells>
  <phoneticPr fontId="4" type="noConversion"/>
  <pageMargins left="0.70866141732283472" right="1.0236220472440944" top="0.78740157480314965" bottom="0.59055118110236227" header="0.59055118110236227" footer="0.39370078740157483"/>
  <pageSetup paperSize="9" orientation="landscape" r:id="rId1"/>
</worksheet>
</file>

<file path=xl/worksheets/sheet4.xml><?xml version="1.0" encoding="utf-8"?>
<worksheet xmlns="http://schemas.openxmlformats.org/spreadsheetml/2006/main" xmlns:r="http://schemas.openxmlformats.org/officeDocument/2006/relationships">
  <dimension ref="A1:W21"/>
  <sheetViews>
    <sheetView view="pageBreakPreview" zoomScaleNormal="100" zoomScaleSheetLayoutView="100" workbookViewId="0">
      <selection activeCell="I18" sqref="I18"/>
    </sheetView>
  </sheetViews>
  <sheetFormatPr defaultRowHeight="30" customHeight="1"/>
  <cols>
    <col min="1" max="1" width="83.25" style="1" customWidth="1"/>
    <col min="2" max="2" width="9" style="1"/>
    <col min="3" max="3" width="84.25" style="10" customWidth="1"/>
    <col min="4" max="16384" width="9" style="1"/>
  </cols>
  <sheetData>
    <row r="1" spans="1:23" s="2" customFormat="1" ht="45" customHeight="1">
      <c r="A1" s="12" t="s">
        <v>20</v>
      </c>
      <c r="B1" s="8"/>
      <c r="C1" s="10"/>
      <c r="D1" s="8"/>
      <c r="E1" s="8"/>
      <c r="F1" s="8"/>
      <c r="G1" s="8"/>
      <c r="H1" s="8"/>
      <c r="I1" s="8"/>
      <c r="J1" s="8"/>
      <c r="K1" s="8"/>
      <c r="L1" s="8"/>
      <c r="M1" s="8"/>
      <c r="N1" s="8"/>
      <c r="O1" s="8"/>
      <c r="P1" s="8"/>
      <c r="Q1" s="8"/>
      <c r="R1" s="8"/>
      <c r="S1" s="8"/>
      <c r="T1" s="8"/>
      <c r="U1" s="8"/>
      <c r="V1" s="8"/>
      <c r="W1" s="8"/>
    </row>
    <row r="3" spans="1:23" s="11" customFormat="1" ht="39.950000000000003" customHeight="1">
      <c r="A3" s="10" t="s">
        <v>337</v>
      </c>
      <c r="C3" s="10"/>
    </row>
    <row r="4" spans="1:23" s="9" customFormat="1" ht="20.100000000000001" customHeight="1">
      <c r="C4" s="10"/>
    </row>
    <row r="5" spans="1:23" s="9" customFormat="1" ht="30" hidden="1" customHeight="1">
      <c r="A5" s="14" t="s">
        <v>75</v>
      </c>
      <c r="C5" s="10"/>
    </row>
    <row r="6" spans="1:23" s="11" customFormat="1" ht="39.950000000000003" hidden="1" customHeight="1">
      <c r="A6" s="10" t="s">
        <v>315</v>
      </c>
      <c r="C6" s="10"/>
    </row>
    <row r="7" spans="1:23" s="9" customFormat="1" ht="20.100000000000001" hidden="1" customHeight="1">
      <c r="C7" s="10"/>
    </row>
    <row r="8" spans="1:23" s="9" customFormat="1" ht="30" customHeight="1">
      <c r="A8" s="14" t="s">
        <v>327</v>
      </c>
      <c r="C8" s="10"/>
    </row>
    <row r="9" spans="1:23" s="9" customFormat="1" ht="114.95" customHeight="1">
      <c r="A9" s="10" t="s">
        <v>471</v>
      </c>
      <c r="C9" s="10" t="s">
        <v>454</v>
      </c>
    </row>
    <row r="10" spans="1:23" s="9" customFormat="1" ht="20.100000000000001" customHeight="1">
      <c r="C10" s="10"/>
    </row>
    <row r="11" spans="1:23" s="9" customFormat="1" ht="30" customHeight="1">
      <c r="A11" s="14" t="s">
        <v>328</v>
      </c>
      <c r="C11" s="10"/>
    </row>
    <row r="12" spans="1:23" s="9" customFormat="1" ht="13.5">
      <c r="A12" s="10" t="s">
        <v>385</v>
      </c>
      <c r="C12" s="10"/>
    </row>
    <row r="13" spans="1:23" s="9" customFormat="1" ht="20.100000000000001" customHeight="1">
      <c r="C13" s="10"/>
    </row>
    <row r="14" spans="1:23" s="9" customFormat="1" ht="30" customHeight="1">
      <c r="A14" s="14" t="s">
        <v>329</v>
      </c>
      <c r="C14" s="10"/>
    </row>
    <row r="15" spans="1:23" s="9" customFormat="1" ht="65.099999999999994" customHeight="1">
      <c r="A15" s="10" t="s">
        <v>314</v>
      </c>
      <c r="C15" s="10" t="s">
        <v>312</v>
      </c>
    </row>
    <row r="16" spans="1:23" ht="20.100000000000001" customHeight="1"/>
    <row r="17" spans="1:3" s="9" customFormat="1" ht="30" customHeight="1">
      <c r="A17" s="14" t="s">
        <v>330</v>
      </c>
      <c r="C17" s="10"/>
    </row>
    <row r="18" spans="1:3" s="9" customFormat="1" ht="39.950000000000003" customHeight="1">
      <c r="A18" s="10" t="s">
        <v>313</v>
      </c>
      <c r="C18" s="10" t="s">
        <v>455</v>
      </c>
    </row>
    <row r="19" spans="1:3" ht="20.100000000000001" customHeight="1"/>
    <row r="20" spans="1:3" s="9" customFormat="1" ht="30" customHeight="1">
      <c r="A20" s="14" t="s">
        <v>384</v>
      </c>
      <c r="C20" s="10"/>
    </row>
    <row r="21" spans="1:3" s="9" customFormat="1" ht="13.5">
      <c r="A21" s="15" t="s">
        <v>21</v>
      </c>
      <c r="C21" s="10"/>
    </row>
  </sheetData>
  <phoneticPr fontId="16" type="noConversion"/>
  <pageMargins left="0.59055118110236227" right="0.59055118110236227" top="1.0236220472440944" bottom="0.70866141732283472" header="0.70866141732283472" footer="0.51181102362204722"/>
  <pageSetup paperSize="9" orientation="portrait" r:id="rId1"/>
</worksheet>
</file>

<file path=xl/worksheets/sheet5.xml><?xml version="1.0" encoding="utf-8"?>
<worksheet xmlns="http://schemas.openxmlformats.org/spreadsheetml/2006/main" xmlns:r="http://schemas.openxmlformats.org/officeDocument/2006/relationships">
  <dimension ref="A1:BJ31"/>
  <sheetViews>
    <sheetView view="pageBreakPreview" topLeftCell="A4" zoomScaleNormal="100" zoomScaleSheetLayoutView="100" workbookViewId="0">
      <selection activeCell="I18" sqref="I18"/>
    </sheetView>
  </sheetViews>
  <sheetFormatPr defaultColWidth="2.625" defaultRowHeight="20.100000000000001" customHeight="1"/>
  <cols>
    <col min="1" max="2" width="4.625" style="20" customWidth="1"/>
    <col min="3" max="16384" width="2.625" style="20"/>
  </cols>
  <sheetData>
    <row r="1" spans="1:62" s="2" customFormat="1" ht="45" customHeight="1">
      <c r="A1" s="165" t="s">
        <v>338</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row>
    <row r="2" spans="1:62" s="2" customFormat="1" ht="30" customHeight="1"/>
    <row r="3" spans="1:62" s="18" customFormat="1" ht="24.95" customHeight="1">
      <c r="A3" s="13" t="s">
        <v>355</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7"/>
    </row>
    <row r="4" spans="1:62" s="18" customFormat="1" ht="9.9499999999999993" customHeight="1"/>
    <row r="5" spans="1:62" s="19" customFormat="1" ht="12">
      <c r="A5" s="169" t="s">
        <v>339</v>
      </c>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row>
    <row r="6" spans="1:62" s="18" customFormat="1" ht="15" customHeight="1"/>
    <row r="7" spans="1:62" s="18" customFormat="1" ht="24.95" customHeight="1">
      <c r="A7" s="13" t="s">
        <v>22</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7"/>
    </row>
    <row r="8" spans="1:62" s="18" customFormat="1" ht="9.9499999999999993" customHeight="1"/>
    <row r="9" spans="1:62" ht="24.95" customHeight="1">
      <c r="A9" s="170" t="s">
        <v>24</v>
      </c>
      <c r="B9" s="170"/>
      <c r="C9" s="170"/>
      <c r="D9" s="170"/>
      <c r="E9" s="170"/>
      <c r="F9" s="170"/>
      <c r="G9" s="170"/>
      <c r="H9" s="170" t="s">
        <v>321</v>
      </c>
      <c r="I9" s="170"/>
      <c r="J9" s="170"/>
      <c r="K9" s="170"/>
      <c r="L9" s="170"/>
      <c r="M9" s="170"/>
      <c r="N9" s="170"/>
      <c r="O9" s="170"/>
      <c r="P9" s="170"/>
      <c r="Q9" s="170"/>
      <c r="R9" s="170"/>
      <c r="S9" s="170"/>
      <c r="T9" s="170"/>
      <c r="U9" s="170"/>
      <c r="V9" s="170"/>
      <c r="W9" s="170"/>
      <c r="X9" s="170"/>
      <c r="Y9" s="170"/>
      <c r="Z9" s="170"/>
      <c r="AA9" s="170"/>
      <c r="AB9" s="170"/>
      <c r="AC9" s="170"/>
      <c r="AD9" s="170"/>
    </row>
    <row r="10" spans="1:62" ht="23.1" customHeight="1">
      <c r="A10" s="173" t="s">
        <v>320</v>
      </c>
      <c r="B10" s="173"/>
      <c r="C10" s="173"/>
      <c r="D10" s="173"/>
      <c r="E10" s="173"/>
      <c r="F10" s="173"/>
      <c r="G10" s="173"/>
      <c r="H10" s="174" t="s">
        <v>340</v>
      </c>
      <c r="I10" s="174"/>
      <c r="J10" s="174"/>
      <c r="K10" s="174"/>
      <c r="L10" s="174"/>
      <c r="M10" s="174"/>
      <c r="N10" s="174"/>
      <c r="O10" s="174"/>
      <c r="P10" s="174"/>
      <c r="Q10" s="174"/>
      <c r="R10" s="174"/>
      <c r="S10" s="174"/>
      <c r="T10" s="174"/>
      <c r="U10" s="174"/>
      <c r="V10" s="174"/>
      <c r="W10" s="174"/>
      <c r="X10" s="174"/>
      <c r="Y10" s="174"/>
      <c r="Z10" s="174"/>
      <c r="AA10" s="174"/>
      <c r="AB10" s="174"/>
      <c r="AC10" s="174"/>
      <c r="AD10" s="174"/>
    </row>
    <row r="11" spans="1:62" ht="23.1" customHeight="1">
      <c r="A11" s="171" t="s">
        <v>341</v>
      </c>
      <c r="B11" s="171"/>
      <c r="C11" s="171"/>
      <c r="D11" s="171"/>
      <c r="E11" s="171"/>
      <c r="F11" s="171"/>
      <c r="G11" s="171"/>
      <c r="H11" s="172" t="s">
        <v>342</v>
      </c>
      <c r="I11" s="172"/>
      <c r="J11" s="172"/>
      <c r="K11" s="172"/>
      <c r="L11" s="172"/>
      <c r="M11" s="172"/>
      <c r="N11" s="172"/>
      <c r="O11" s="172"/>
      <c r="P11" s="172"/>
      <c r="Q11" s="172"/>
      <c r="R11" s="172"/>
      <c r="S11" s="172"/>
      <c r="T11" s="172"/>
      <c r="U11" s="172"/>
      <c r="V11" s="172"/>
      <c r="W11" s="172"/>
      <c r="X11" s="172"/>
      <c r="Y11" s="172"/>
      <c r="Z11" s="172"/>
      <c r="AA11" s="172"/>
      <c r="AB11" s="172"/>
      <c r="AC11" s="172"/>
      <c r="AD11" s="172"/>
    </row>
    <row r="12" spans="1:62" ht="23.1" customHeight="1">
      <c r="A12" s="171" t="s">
        <v>343</v>
      </c>
      <c r="B12" s="171"/>
      <c r="C12" s="171"/>
      <c r="D12" s="171"/>
      <c r="E12" s="171"/>
      <c r="F12" s="171"/>
      <c r="G12" s="171"/>
      <c r="H12" s="172" t="s">
        <v>349</v>
      </c>
      <c r="I12" s="172"/>
      <c r="J12" s="172"/>
      <c r="K12" s="172"/>
      <c r="L12" s="172"/>
      <c r="M12" s="172"/>
      <c r="N12" s="172"/>
      <c r="O12" s="172"/>
      <c r="P12" s="172"/>
      <c r="Q12" s="172"/>
      <c r="R12" s="172"/>
      <c r="S12" s="172"/>
      <c r="T12" s="172"/>
      <c r="U12" s="172"/>
      <c r="V12" s="172"/>
      <c r="W12" s="172"/>
      <c r="X12" s="172"/>
      <c r="Y12" s="172"/>
      <c r="Z12" s="172"/>
      <c r="AA12" s="172"/>
      <c r="AB12" s="172"/>
      <c r="AC12" s="172"/>
      <c r="AD12" s="172"/>
    </row>
    <row r="13" spans="1:62" ht="23.1" customHeight="1">
      <c r="A13" s="171" t="s">
        <v>344</v>
      </c>
      <c r="B13" s="171"/>
      <c r="C13" s="171"/>
      <c r="D13" s="171"/>
      <c r="E13" s="171"/>
      <c r="F13" s="171"/>
      <c r="G13" s="171"/>
      <c r="H13" s="172" t="s">
        <v>350</v>
      </c>
      <c r="I13" s="172"/>
      <c r="J13" s="172"/>
      <c r="K13" s="172"/>
      <c r="L13" s="172"/>
      <c r="M13" s="172"/>
      <c r="N13" s="172"/>
      <c r="O13" s="172"/>
      <c r="P13" s="172"/>
      <c r="Q13" s="172"/>
      <c r="R13" s="172"/>
      <c r="S13" s="172"/>
      <c r="T13" s="172"/>
      <c r="U13" s="172"/>
      <c r="V13" s="172"/>
      <c r="W13" s="172"/>
      <c r="X13" s="172"/>
      <c r="Y13" s="172"/>
      <c r="Z13" s="172"/>
      <c r="AA13" s="172"/>
      <c r="AB13" s="172"/>
      <c r="AC13" s="172"/>
      <c r="AD13" s="172"/>
    </row>
    <row r="14" spans="1:62" ht="23.1" customHeight="1">
      <c r="A14" s="171" t="s">
        <v>345</v>
      </c>
      <c r="B14" s="171"/>
      <c r="C14" s="171"/>
      <c r="D14" s="171"/>
      <c r="E14" s="171"/>
      <c r="F14" s="171"/>
      <c r="G14" s="171"/>
      <c r="H14" s="172" t="s">
        <v>351</v>
      </c>
      <c r="I14" s="172"/>
      <c r="J14" s="172"/>
      <c r="K14" s="172"/>
      <c r="L14" s="172"/>
      <c r="M14" s="172"/>
      <c r="N14" s="172"/>
      <c r="O14" s="172"/>
      <c r="P14" s="172"/>
      <c r="Q14" s="172"/>
      <c r="R14" s="172"/>
      <c r="S14" s="172"/>
      <c r="T14" s="172"/>
      <c r="U14" s="172"/>
      <c r="V14" s="172"/>
      <c r="W14" s="172"/>
      <c r="X14" s="172"/>
      <c r="Y14" s="172"/>
      <c r="Z14" s="172"/>
      <c r="AA14" s="172"/>
      <c r="AB14" s="172"/>
      <c r="AC14" s="172"/>
      <c r="AD14" s="172"/>
    </row>
    <row r="15" spans="1:62" ht="23.1" customHeight="1">
      <c r="A15" s="171" t="s">
        <v>346</v>
      </c>
      <c r="B15" s="171"/>
      <c r="C15" s="171"/>
      <c r="D15" s="171"/>
      <c r="E15" s="171"/>
      <c r="F15" s="171"/>
      <c r="G15" s="171"/>
      <c r="H15" s="172" t="s">
        <v>352</v>
      </c>
      <c r="I15" s="172"/>
      <c r="J15" s="172"/>
      <c r="K15" s="172"/>
      <c r="L15" s="172"/>
      <c r="M15" s="172"/>
      <c r="N15" s="172"/>
      <c r="O15" s="172"/>
      <c r="P15" s="172"/>
      <c r="Q15" s="172"/>
      <c r="R15" s="172"/>
      <c r="S15" s="172"/>
      <c r="T15" s="172"/>
      <c r="U15" s="172"/>
      <c r="V15" s="172"/>
      <c r="W15" s="172"/>
      <c r="X15" s="172"/>
      <c r="Y15" s="172"/>
      <c r="Z15" s="172"/>
      <c r="AA15" s="172"/>
      <c r="AB15" s="172"/>
      <c r="AC15" s="172"/>
      <c r="AD15" s="172"/>
    </row>
    <row r="16" spans="1:62" ht="23.1" customHeight="1">
      <c r="A16" s="171" t="s">
        <v>347</v>
      </c>
      <c r="B16" s="171"/>
      <c r="C16" s="171"/>
      <c r="D16" s="171"/>
      <c r="E16" s="171"/>
      <c r="F16" s="171"/>
      <c r="G16" s="171"/>
      <c r="H16" s="172" t="s">
        <v>353</v>
      </c>
      <c r="I16" s="172"/>
      <c r="J16" s="172"/>
      <c r="K16" s="172"/>
      <c r="L16" s="172"/>
      <c r="M16" s="172"/>
      <c r="N16" s="172"/>
      <c r="O16" s="172"/>
      <c r="P16" s="172"/>
      <c r="Q16" s="172"/>
      <c r="R16" s="172"/>
      <c r="S16" s="172"/>
      <c r="T16" s="172"/>
      <c r="U16" s="172"/>
      <c r="V16" s="172"/>
      <c r="W16" s="172"/>
      <c r="X16" s="172"/>
      <c r="Y16" s="172"/>
      <c r="Z16" s="172"/>
      <c r="AA16" s="172"/>
      <c r="AB16" s="172"/>
      <c r="AC16" s="172"/>
      <c r="AD16" s="172"/>
    </row>
    <row r="17" spans="1:30" ht="23.1" customHeight="1">
      <c r="A17" s="176" t="s">
        <v>348</v>
      </c>
      <c r="B17" s="176"/>
      <c r="C17" s="176"/>
      <c r="D17" s="176"/>
      <c r="E17" s="176"/>
      <c r="F17" s="176"/>
      <c r="G17" s="176"/>
      <c r="H17" s="180" t="s">
        <v>354</v>
      </c>
      <c r="I17" s="180"/>
      <c r="J17" s="180"/>
      <c r="K17" s="180"/>
      <c r="L17" s="180"/>
      <c r="M17" s="180"/>
      <c r="N17" s="180"/>
      <c r="O17" s="180"/>
      <c r="P17" s="180"/>
      <c r="Q17" s="180"/>
      <c r="R17" s="180"/>
      <c r="S17" s="180"/>
      <c r="T17" s="180"/>
      <c r="U17" s="180"/>
      <c r="V17" s="180"/>
      <c r="W17" s="180"/>
      <c r="X17" s="180"/>
      <c r="Y17" s="180"/>
      <c r="Z17" s="180"/>
      <c r="AA17" s="180"/>
      <c r="AB17" s="180"/>
      <c r="AC17" s="180"/>
      <c r="AD17" s="180"/>
    </row>
    <row r="18" spans="1:30" ht="15" customHeight="1"/>
    <row r="19" spans="1:30" s="18" customFormat="1" ht="24.95" customHeight="1">
      <c r="A19" s="13" t="s">
        <v>25</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7"/>
    </row>
    <row r="20" spans="1:30" s="18" customFormat="1" ht="9.9499999999999993" customHeight="1"/>
    <row r="21" spans="1:30" ht="24.95" customHeight="1">
      <c r="A21" s="177" t="s">
        <v>322</v>
      </c>
      <c r="B21" s="178"/>
      <c r="C21" s="178"/>
      <c r="D21" s="178"/>
      <c r="E21" s="178"/>
      <c r="F21" s="178"/>
      <c r="G21" s="178"/>
      <c r="H21" s="178"/>
      <c r="I21" s="178"/>
      <c r="J21" s="178"/>
      <c r="K21" s="179"/>
      <c r="L21" s="170" t="s">
        <v>323</v>
      </c>
      <c r="M21" s="170"/>
      <c r="N21" s="170"/>
      <c r="O21" s="170"/>
      <c r="P21" s="170"/>
      <c r="Q21" s="170" t="s">
        <v>324</v>
      </c>
      <c r="R21" s="170"/>
      <c r="S21" s="170"/>
      <c r="T21" s="170"/>
      <c r="U21" s="170"/>
      <c r="V21" s="170"/>
      <c r="W21" s="170"/>
      <c r="X21" s="170"/>
      <c r="Y21" s="170"/>
      <c r="Z21" s="170"/>
      <c r="AA21" s="170"/>
      <c r="AB21" s="170"/>
      <c r="AC21" s="170"/>
      <c r="AD21" s="170"/>
    </row>
    <row r="22" spans="1:30" ht="24.95" customHeight="1">
      <c r="A22" s="173" t="s">
        <v>367</v>
      </c>
      <c r="B22" s="173"/>
      <c r="C22" s="173"/>
      <c r="D22" s="173"/>
      <c r="E22" s="175" t="s">
        <v>357</v>
      </c>
      <c r="F22" s="175"/>
      <c r="G22" s="175"/>
      <c r="H22" s="175"/>
      <c r="I22" s="175"/>
      <c r="J22" s="175"/>
      <c r="K22" s="175"/>
      <c r="L22" s="175">
        <v>1</v>
      </c>
      <c r="M22" s="175"/>
      <c r="N22" s="175"/>
      <c r="O22" s="175"/>
      <c r="P22" s="175"/>
      <c r="Q22" s="175" t="s">
        <v>449</v>
      </c>
      <c r="R22" s="175"/>
      <c r="S22" s="175"/>
      <c r="T22" s="175"/>
      <c r="U22" s="175"/>
      <c r="V22" s="175"/>
      <c r="W22" s="175"/>
      <c r="X22" s="175"/>
      <c r="Y22" s="175"/>
      <c r="Z22" s="175"/>
      <c r="AA22" s="175"/>
      <c r="AB22" s="175"/>
      <c r="AC22" s="175"/>
      <c r="AD22" s="175"/>
    </row>
    <row r="23" spans="1:30" ht="24.95" customHeight="1">
      <c r="A23" s="171"/>
      <c r="B23" s="171"/>
      <c r="C23" s="171"/>
      <c r="D23" s="171"/>
      <c r="E23" s="175" t="s">
        <v>360</v>
      </c>
      <c r="F23" s="175"/>
      <c r="G23" s="175"/>
      <c r="H23" s="175"/>
      <c r="I23" s="175"/>
      <c r="J23" s="175"/>
      <c r="K23" s="175"/>
      <c r="L23" s="175">
        <v>1</v>
      </c>
      <c r="M23" s="175"/>
      <c r="N23" s="175"/>
      <c r="O23" s="175"/>
      <c r="P23" s="175"/>
      <c r="Q23" s="175" t="s">
        <v>446</v>
      </c>
      <c r="R23" s="175"/>
      <c r="S23" s="175"/>
      <c r="T23" s="175"/>
      <c r="U23" s="175"/>
      <c r="V23" s="175"/>
      <c r="W23" s="175"/>
      <c r="X23" s="175"/>
      <c r="Y23" s="175"/>
      <c r="Z23" s="175"/>
      <c r="AA23" s="175"/>
      <c r="AB23" s="175"/>
      <c r="AC23" s="175"/>
      <c r="AD23" s="175"/>
    </row>
    <row r="24" spans="1:30" ht="24.95" customHeight="1">
      <c r="A24" s="171"/>
      <c r="B24" s="171"/>
      <c r="C24" s="171"/>
      <c r="D24" s="171"/>
      <c r="E24" s="175" t="s">
        <v>362</v>
      </c>
      <c r="F24" s="175"/>
      <c r="G24" s="175"/>
      <c r="H24" s="175"/>
      <c r="I24" s="175"/>
      <c r="J24" s="175"/>
      <c r="K24" s="175"/>
      <c r="L24" s="175">
        <v>1</v>
      </c>
      <c r="M24" s="175"/>
      <c r="N24" s="175"/>
      <c r="O24" s="175"/>
      <c r="P24" s="175"/>
      <c r="Q24" s="175" t="s">
        <v>450</v>
      </c>
      <c r="R24" s="175"/>
      <c r="S24" s="175"/>
      <c r="T24" s="175"/>
      <c r="U24" s="175"/>
      <c r="V24" s="175"/>
      <c r="W24" s="175"/>
      <c r="X24" s="175"/>
      <c r="Y24" s="175"/>
      <c r="Z24" s="175"/>
      <c r="AA24" s="175"/>
      <c r="AB24" s="175"/>
      <c r="AC24" s="175"/>
      <c r="AD24" s="175"/>
    </row>
    <row r="25" spans="1:30" ht="24.95" customHeight="1">
      <c r="A25" s="171"/>
      <c r="B25" s="171"/>
      <c r="C25" s="171"/>
      <c r="D25" s="171"/>
      <c r="E25" s="175" t="s">
        <v>364</v>
      </c>
      <c r="F25" s="175"/>
      <c r="G25" s="175"/>
      <c r="H25" s="175"/>
      <c r="I25" s="175"/>
      <c r="J25" s="175"/>
      <c r="K25" s="175"/>
      <c r="L25" s="175">
        <v>1</v>
      </c>
      <c r="M25" s="175"/>
      <c r="N25" s="175"/>
      <c r="O25" s="175"/>
      <c r="P25" s="175"/>
      <c r="Q25" s="175" t="s">
        <v>451</v>
      </c>
      <c r="R25" s="175"/>
      <c r="S25" s="175"/>
      <c r="T25" s="175"/>
      <c r="U25" s="175"/>
      <c r="V25" s="175"/>
      <c r="W25" s="175"/>
      <c r="X25" s="175"/>
      <c r="Y25" s="175"/>
      <c r="Z25" s="175"/>
      <c r="AA25" s="175"/>
      <c r="AB25" s="175"/>
      <c r="AC25" s="175"/>
      <c r="AD25" s="175"/>
    </row>
    <row r="26" spans="1:30" ht="24.95" customHeight="1">
      <c r="A26" s="176"/>
      <c r="B26" s="176"/>
      <c r="C26" s="176"/>
      <c r="D26" s="176"/>
      <c r="E26" s="175" t="s">
        <v>366</v>
      </c>
      <c r="F26" s="175"/>
      <c r="G26" s="175"/>
      <c r="H26" s="175"/>
      <c r="I26" s="175"/>
      <c r="J26" s="175"/>
      <c r="K26" s="175"/>
      <c r="L26" s="175">
        <v>1</v>
      </c>
      <c r="M26" s="175"/>
      <c r="N26" s="175"/>
      <c r="O26" s="175"/>
      <c r="P26" s="175"/>
      <c r="Q26" s="186" t="s">
        <v>450</v>
      </c>
      <c r="R26" s="175"/>
      <c r="S26" s="175"/>
      <c r="T26" s="175"/>
      <c r="U26" s="175"/>
      <c r="V26" s="175"/>
      <c r="W26" s="175"/>
      <c r="X26" s="175"/>
      <c r="Y26" s="175"/>
      <c r="Z26" s="175"/>
      <c r="AA26" s="175"/>
      <c r="AB26" s="175"/>
      <c r="AC26" s="175"/>
      <c r="AD26" s="175"/>
    </row>
    <row r="27" spans="1:30" ht="24.95" customHeight="1">
      <c r="A27" s="173" t="s">
        <v>368</v>
      </c>
      <c r="B27" s="173"/>
      <c r="C27" s="173"/>
      <c r="D27" s="173"/>
      <c r="E27" s="175" t="s">
        <v>371</v>
      </c>
      <c r="F27" s="175"/>
      <c r="G27" s="175"/>
      <c r="H27" s="175"/>
      <c r="I27" s="175"/>
      <c r="J27" s="175"/>
      <c r="K27" s="175"/>
      <c r="L27" s="175">
        <v>1</v>
      </c>
      <c r="M27" s="175"/>
      <c r="N27" s="175"/>
      <c r="O27" s="175"/>
      <c r="P27" s="175"/>
      <c r="Q27" s="175" t="s">
        <v>447</v>
      </c>
      <c r="R27" s="175"/>
      <c r="S27" s="175"/>
      <c r="T27" s="175"/>
      <c r="U27" s="175"/>
      <c r="V27" s="175"/>
      <c r="W27" s="175"/>
      <c r="X27" s="175"/>
      <c r="Y27" s="175"/>
      <c r="Z27" s="175"/>
      <c r="AA27" s="175"/>
      <c r="AB27" s="175"/>
      <c r="AC27" s="175"/>
      <c r="AD27" s="175"/>
    </row>
    <row r="28" spans="1:30" ht="24.95" customHeight="1">
      <c r="A28" s="176"/>
      <c r="B28" s="176"/>
      <c r="C28" s="176"/>
      <c r="D28" s="176"/>
      <c r="E28" s="175" t="s">
        <v>389</v>
      </c>
      <c r="F28" s="175"/>
      <c r="G28" s="175"/>
      <c r="H28" s="175"/>
      <c r="I28" s="175"/>
      <c r="J28" s="175"/>
      <c r="K28" s="175"/>
      <c r="L28" s="175">
        <v>4</v>
      </c>
      <c r="M28" s="175"/>
      <c r="N28" s="175"/>
      <c r="O28" s="175"/>
      <c r="P28" s="175"/>
      <c r="Q28" s="186" t="s">
        <v>447</v>
      </c>
      <c r="R28" s="175"/>
      <c r="S28" s="175"/>
      <c r="T28" s="175"/>
      <c r="U28" s="175"/>
      <c r="V28" s="175"/>
      <c r="W28" s="175"/>
      <c r="X28" s="175"/>
      <c r="Y28" s="175"/>
      <c r="Z28" s="175"/>
      <c r="AA28" s="175"/>
      <c r="AB28" s="175"/>
      <c r="AC28" s="175"/>
      <c r="AD28" s="175"/>
    </row>
    <row r="29" spans="1:30" ht="24.95" customHeight="1">
      <c r="A29" s="173" t="s">
        <v>369</v>
      </c>
      <c r="B29" s="173"/>
      <c r="C29" s="173"/>
      <c r="D29" s="173"/>
      <c r="E29" s="175" t="s">
        <v>373</v>
      </c>
      <c r="F29" s="175"/>
      <c r="G29" s="175"/>
      <c r="H29" s="175"/>
      <c r="I29" s="175"/>
      <c r="J29" s="175"/>
      <c r="K29" s="175"/>
      <c r="L29" s="175">
        <v>1</v>
      </c>
      <c r="M29" s="175"/>
      <c r="N29" s="175"/>
      <c r="O29" s="175"/>
      <c r="P29" s="175"/>
      <c r="Q29" s="188" t="s">
        <v>448</v>
      </c>
      <c r="R29" s="189"/>
      <c r="S29" s="189"/>
      <c r="T29" s="189"/>
      <c r="U29" s="189"/>
      <c r="V29" s="189"/>
      <c r="W29" s="189"/>
      <c r="X29" s="189"/>
      <c r="Y29" s="189"/>
      <c r="Z29" s="189"/>
      <c r="AA29" s="189"/>
      <c r="AB29" s="189"/>
      <c r="AC29" s="189"/>
      <c r="AD29" s="190"/>
    </row>
    <row r="30" spans="1:30" ht="24.95" customHeight="1" thickBot="1">
      <c r="A30" s="187"/>
      <c r="B30" s="187"/>
      <c r="C30" s="187"/>
      <c r="D30" s="187"/>
      <c r="E30" s="185" t="s">
        <v>374</v>
      </c>
      <c r="F30" s="185"/>
      <c r="G30" s="185"/>
      <c r="H30" s="185"/>
      <c r="I30" s="185"/>
      <c r="J30" s="185"/>
      <c r="K30" s="185"/>
      <c r="L30" s="173">
        <v>2</v>
      </c>
      <c r="M30" s="173"/>
      <c r="N30" s="173"/>
      <c r="O30" s="173"/>
      <c r="P30" s="173"/>
      <c r="Q30" s="191"/>
      <c r="R30" s="192"/>
      <c r="S30" s="192"/>
      <c r="T30" s="192"/>
      <c r="U30" s="192"/>
      <c r="V30" s="192"/>
      <c r="W30" s="192"/>
      <c r="X30" s="192"/>
      <c r="Y30" s="192"/>
      <c r="Z30" s="192"/>
      <c r="AA30" s="192"/>
      <c r="AB30" s="192"/>
      <c r="AC30" s="192"/>
      <c r="AD30" s="193"/>
    </row>
    <row r="31" spans="1:30" ht="24.95" customHeight="1" thickTop="1">
      <c r="A31" s="181" t="s">
        <v>325</v>
      </c>
      <c r="B31" s="182"/>
      <c r="C31" s="182"/>
      <c r="D31" s="182"/>
      <c r="E31" s="182"/>
      <c r="F31" s="182"/>
      <c r="G31" s="182"/>
      <c r="H31" s="182"/>
      <c r="I31" s="182"/>
      <c r="J31" s="182"/>
      <c r="K31" s="183"/>
      <c r="L31" s="184">
        <f>SUM(L22:P30)</f>
        <v>13</v>
      </c>
      <c r="M31" s="184"/>
      <c r="N31" s="184"/>
      <c r="O31" s="184"/>
      <c r="P31" s="184"/>
      <c r="Q31" s="184"/>
      <c r="R31" s="184"/>
      <c r="S31" s="184"/>
      <c r="T31" s="184"/>
      <c r="U31" s="184"/>
      <c r="V31" s="184"/>
      <c r="W31" s="184"/>
      <c r="X31" s="184"/>
      <c r="Y31" s="184"/>
      <c r="Z31" s="184"/>
      <c r="AA31" s="184"/>
      <c r="AB31" s="184"/>
      <c r="AC31" s="184"/>
      <c r="AD31" s="184"/>
    </row>
  </sheetData>
  <mergeCells count="55">
    <mergeCell ref="A15:G15"/>
    <mergeCell ref="H15:AD15"/>
    <mergeCell ref="A16:G16"/>
    <mergeCell ref="H16:AD16"/>
    <mergeCell ref="L30:P30"/>
    <mergeCell ref="E25:K25"/>
    <mergeCell ref="L25:P25"/>
    <mergeCell ref="Q25:AD25"/>
    <mergeCell ref="E26:K26"/>
    <mergeCell ref="L26:P26"/>
    <mergeCell ref="Q26:AD26"/>
    <mergeCell ref="E23:K23"/>
    <mergeCell ref="L23:P23"/>
    <mergeCell ref="Q23:AD23"/>
    <mergeCell ref="A27:D28"/>
    <mergeCell ref="A31:K31"/>
    <mergeCell ref="L31:P31"/>
    <mergeCell ref="Q31:AD31"/>
    <mergeCell ref="E30:K30"/>
    <mergeCell ref="E27:K27"/>
    <mergeCell ref="L27:P27"/>
    <mergeCell ref="Q27:AD27"/>
    <mergeCell ref="L28:P28"/>
    <mergeCell ref="Q28:AD28"/>
    <mergeCell ref="L29:P29"/>
    <mergeCell ref="E28:K28"/>
    <mergeCell ref="E29:K29"/>
    <mergeCell ref="A29:D30"/>
    <mergeCell ref="Q29:AD30"/>
    <mergeCell ref="A13:G13"/>
    <mergeCell ref="H13:AD13"/>
    <mergeCell ref="A14:G14"/>
    <mergeCell ref="H14:AD14"/>
    <mergeCell ref="E24:K24"/>
    <mergeCell ref="L24:P24"/>
    <mergeCell ref="Q24:AD24"/>
    <mergeCell ref="A22:D26"/>
    <mergeCell ref="Q21:AD21"/>
    <mergeCell ref="L21:P21"/>
    <mergeCell ref="A21:K21"/>
    <mergeCell ref="E22:K22"/>
    <mergeCell ref="A17:G17"/>
    <mergeCell ref="H17:AD17"/>
    <mergeCell ref="L22:P22"/>
    <mergeCell ref="Q22:AD22"/>
    <mergeCell ref="A5:AD5"/>
    <mergeCell ref="A1:AD1"/>
    <mergeCell ref="H9:AD9"/>
    <mergeCell ref="A9:G9"/>
    <mergeCell ref="A12:G12"/>
    <mergeCell ref="H12:AD12"/>
    <mergeCell ref="A10:G10"/>
    <mergeCell ref="H10:AD10"/>
    <mergeCell ref="A11:G11"/>
    <mergeCell ref="H11:AD11"/>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6.xml><?xml version="1.0" encoding="utf-8"?>
<worksheet xmlns="http://schemas.openxmlformats.org/spreadsheetml/2006/main" xmlns:r="http://schemas.openxmlformats.org/officeDocument/2006/relationships">
  <dimension ref="A1:A2"/>
  <sheetViews>
    <sheetView view="pageBreakPreview" zoomScaleNormal="100" zoomScaleSheetLayoutView="100" workbookViewId="0">
      <selection activeCell="I18" sqref="I18"/>
    </sheetView>
  </sheetViews>
  <sheetFormatPr defaultRowHeight="30" customHeight="1"/>
  <cols>
    <col min="1" max="1" width="83.25" style="2" customWidth="1"/>
    <col min="2" max="16384" width="9" style="2"/>
  </cols>
  <sheetData>
    <row r="1" spans="1:1" ht="45" customHeight="1">
      <c r="A1" s="23" t="s">
        <v>27</v>
      </c>
    </row>
    <row r="2" spans="1:1" ht="45" customHeight="1"/>
  </sheetData>
  <phoneticPr fontId="4" type="noConversion"/>
  <pageMargins left="0.59055118110236227" right="0.59055118110236227" top="3.1496062992125986" bottom="6.87" header="0.70866141732283472" footer="0.51181102362204722"/>
  <pageSetup paperSize="9" orientation="portrait" r:id="rId1"/>
</worksheet>
</file>

<file path=xl/worksheets/sheet7.xml><?xml version="1.0" encoding="utf-8"?>
<worksheet xmlns="http://schemas.openxmlformats.org/spreadsheetml/2006/main" xmlns:r="http://schemas.openxmlformats.org/officeDocument/2006/relationships">
  <dimension ref="A1:K30"/>
  <sheetViews>
    <sheetView view="pageBreakPreview" topLeftCell="A7" zoomScaleNormal="100" zoomScaleSheetLayoutView="100" workbookViewId="0">
      <selection activeCell="I18" sqref="I18"/>
    </sheetView>
  </sheetViews>
  <sheetFormatPr defaultRowHeight="30" customHeight="1"/>
  <cols>
    <col min="1" max="3" width="5.125" style="2" customWidth="1"/>
    <col min="4" max="4" width="15.375" style="2" customWidth="1"/>
    <col min="5" max="5" width="16.625" style="2" customWidth="1"/>
    <col min="6" max="6" width="10.625" style="2" customWidth="1"/>
    <col min="7" max="7" width="15.625" style="2" customWidth="1"/>
    <col min="8" max="8" width="9.125" style="2" customWidth="1"/>
    <col min="9" max="9" width="9" style="2"/>
    <col min="10" max="10" width="10.625" style="2" customWidth="1"/>
    <col min="11" max="11" width="9" style="2" customWidth="1"/>
    <col min="12" max="16384" width="9" style="2"/>
  </cols>
  <sheetData>
    <row r="1" spans="1:8" ht="39.950000000000003" customHeight="1">
      <c r="A1" s="165" t="s">
        <v>29</v>
      </c>
      <c r="B1" s="165"/>
      <c r="C1" s="165"/>
      <c r="D1" s="165"/>
      <c r="E1" s="165"/>
      <c r="F1" s="165"/>
      <c r="G1" s="165"/>
      <c r="H1" s="165"/>
    </row>
    <row r="2" spans="1:8" ht="15" customHeight="1"/>
    <row r="3" spans="1:8" ht="24.95" customHeight="1">
      <c r="A3" s="24" t="s">
        <v>396</v>
      </c>
      <c r="H3" s="43" t="s">
        <v>32</v>
      </c>
    </row>
    <row r="4" spans="1:8" ht="15" customHeight="1">
      <c r="A4" s="204"/>
      <c r="B4" s="205"/>
      <c r="C4" s="205"/>
      <c r="D4" s="32" t="s">
        <v>30</v>
      </c>
      <c r="E4" s="208" t="s">
        <v>33</v>
      </c>
      <c r="F4" s="208" t="s">
        <v>34</v>
      </c>
      <c r="G4" s="208" t="s">
        <v>35</v>
      </c>
      <c r="H4" s="208"/>
    </row>
    <row r="5" spans="1:8" ht="15" customHeight="1">
      <c r="A5" s="206" t="s">
        <v>31</v>
      </c>
      <c r="B5" s="207"/>
      <c r="C5" s="207"/>
      <c r="D5" s="33"/>
      <c r="E5" s="208"/>
      <c r="F5" s="208"/>
      <c r="G5" s="208"/>
      <c r="H5" s="208"/>
    </row>
    <row r="6" spans="1:8" ht="21.95" customHeight="1">
      <c r="A6" s="201" t="s">
        <v>36</v>
      </c>
      <c r="B6" s="34" t="s">
        <v>37</v>
      </c>
      <c r="C6" s="202" t="s">
        <v>38</v>
      </c>
      <c r="D6" s="202"/>
      <c r="E6" s="35"/>
      <c r="F6" s="39"/>
      <c r="G6" s="194"/>
      <c r="H6" s="194"/>
    </row>
    <row r="7" spans="1:8" ht="21.95" customHeight="1">
      <c r="A7" s="201"/>
      <c r="B7" s="26" t="s">
        <v>39</v>
      </c>
      <c r="C7" s="199" t="s">
        <v>40</v>
      </c>
      <c r="D7" s="199"/>
      <c r="E7" s="36"/>
      <c r="F7" s="40"/>
      <c r="G7" s="197"/>
      <c r="H7" s="197"/>
    </row>
    <row r="8" spans="1:8" ht="21.95" customHeight="1">
      <c r="A8" s="201"/>
      <c r="B8" s="26" t="s">
        <v>41</v>
      </c>
      <c r="C8" s="200"/>
      <c r="D8" s="200"/>
      <c r="E8" s="37"/>
      <c r="F8" s="41"/>
      <c r="G8" s="195"/>
      <c r="H8" s="195"/>
    </row>
    <row r="9" spans="1:8" ht="21.95" customHeight="1">
      <c r="A9" s="201"/>
      <c r="B9" s="27" t="s">
        <v>42</v>
      </c>
      <c r="C9" s="198" t="s">
        <v>43</v>
      </c>
      <c r="D9" s="198"/>
      <c r="E9" s="38">
        <f>SUM(E6:E8)</f>
        <v>0</v>
      </c>
      <c r="F9" s="42"/>
      <c r="G9" s="196"/>
      <c r="H9" s="196"/>
    </row>
    <row r="10" spans="1:8" ht="21.95" customHeight="1">
      <c r="A10" s="201"/>
      <c r="B10" s="34" t="s">
        <v>44</v>
      </c>
      <c r="C10" s="202" t="s">
        <v>45</v>
      </c>
      <c r="D10" s="202"/>
      <c r="E10" s="35">
        <f>인집!E16</f>
        <v>27375865</v>
      </c>
      <c r="F10" s="39"/>
      <c r="G10" s="194"/>
      <c r="H10" s="194"/>
    </row>
    <row r="11" spans="1:8" ht="21.95" customHeight="1">
      <c r="A11" s="201"/>
      <c r="B11" s="26" t="s">
        <v>46</v>
      </c>
      <c r="C11" s="199" t="s">
        <v>47</v>
      </c>
      <c r="D11" s="199"/>
      <c r="E11" s="36">
        <f>인집!H16</f>
        <v>3178555</v>
      </c>
      <c r="F11" s="40"/>
      <c r="G11" s="197"/>
      <c r="H11" s="197"/>
    </row>
    <row r="12" spans="1:8" ht="21.95" customHeight="1">
      <c r="A12" s="201"/>
      <c r="B12" s="26"/>
      <c r="C12" s="199" t="s">
        <v>48</v>
      </c>
      <c r="D12" s="199"/>
      <c r="E12" s="36">
        <f>인집!K16</f>
        <v>2573150</v>
      </c>
      <c r="F12" s="40"/>
      <c r="G12" s="197"/>
      <c r="H12" s="197"/>
    </row>
    <row r="13" spans="1:8" ht="21.95" customHeight="1">
      <c r="A13" s="201"/>
      <c r="B13" s="26" t="s">
        <v>49</v>
      </c>
      <c r="C13" s="199" t="s">
        <v>50</v>
      </c>
      <c r="D13" s="199"/>
      <c r="E13" s="36">
        <f>인집!N16</f>
        <v>2760627</v>
      </c>
      <c r="F13" s="40"/>
      <c r="G13" s="197"/>
      <c r="H13" s="197"/>
    </row>
    <row r="14" spans="1:8" ht="21.95" customHeight="1">
      <c r="A14" s="201"/>
      <c r="B14" s="26"/>
      <c r="C14" s="200"/>
      <c r="D14" s="200"/>
      <c r="E14" s="37"/>
      <c r="F14" s="41"/>
      <c r="G14" s="195"/>
      <c r="H14" s="195"/>
    </row>
    <row r="15" spans="1:8" ht="21.95" customHeight="1">
      <c r="A15" s="201"/>
      <c r="B15" s="27" t="s">
        <v>51</v>
      </c>
      <c r="C15" s="198" t="s">
        <v>43</v>
      </c>
      <c r="D15" s="198"/>
      <c r="E15" s="38">
        <f>SUM(E10:E14)</f>
        <v>35888197</v>
      </c>
      <c r="F15" s="42">
        <f>ROUND(E15/$E$27,4)</f>
        <v>0.76160000000000005</v>
      </c>
      <c r="G15" s="196" t="s">
        <v>68</v>
      </c>
      <c r="H15" s="196"/>
    </row>
    <row r="16" spans="1:8" ht="21.95" customHeight="1">
      <c r="A16" s="201"/>
      <c r="B16" s="34"/>
      <c r="C16" s="202" t="s">
        <v>53</v>
      </c>
      <c r="D16" s="202"/>
      <c r="E16" s="35">
        <f>경집!C5</f>
        <v>530036</v>
      </c>
      <c r="F16" s="39"/>
      <c r="G16" s="194"/>
      <c r="H16" s="194"/>
    </row>
    <row r="17" spans="1:11" ht="21.95" customHeight="1">
      <c r="A17" s="201"/>
      <c r="B17" s="25" t="s">
        <v>52</v>
      </c>
      <c r="C17" s="203" t="s">
        <v>54</v>
      </c>
      <c r="D17" s="203"/>
      <c r="E17" s="36">
        <f>경집!C6</f>
        <v>1013698</v>
      </c>
      <c r="F17" s="40"/>
      <c r="G17" s="197"/>
      <c r="H17" s="197"/>
    </row>
    <row r="18" spans="1:11" ht="21.95" customHeight="1">
      <c r="A18" s="201"/>
      <c r="B18" s="26"/>
      <c r="C18" s="203" t="s">
        <v>56</v>
      </c>
      <c r="D18" s="203"/>
      <c r="E18" s="36">
        <f>경집!C7</f>
        <v>66392</v>
      </c>
      <c r="F18" s="40"/>
      <c r="G18" s="197"/>
      <c r="H18" s="197"/>
    </row>
    <row r="19" spans="1:11" ht="21.95" customHeight="1">
      <c r="A19" s="201"/>
      <c r="B19" s="26" t="s">
        <v>55</v>
      </c>
      <c r="C19" s="199" t="s">
        <v>57</v>
      </c>
      <c r="D19" s="199"/>
      <c r="E19" s="36">
        <f>경집!C8</f>
        <v>1490736</v>
      </c>
      <c r="F19" s="40"/>
      <c r="G19" s="197"/>
      <c r="H19" s="197"/>
    </row>
    <row r="20" spans="1:11" ht="21.95" customHeight="1">
      <c r="A20" s="201"/>
      <c r="B20" s="26"/>
      <c r="C20" s="199" t="s">
        <v>58</v>
      </c>
      <c r="D20" s="199"/>
      <c r="E20" s="36">
        <f>경집!C9</f>
        <v>298144</v>
      </c>
      <c r="F20" s="40"/>
      <c r="G20" s="197"/>
      <c r="H20" s="197"/>
    </row>
    <row r="21" spans="1:11" ht="21.95" customHeight="1">
      <c r="A21" s="201"/>
      <c r="B21" s="26"/>
      <c r="C21" s="199" t="s">
        <v>59</v>
      </c>
      <c r="D21" s="199"/>
      <c r="E21" s="36">
        <f>경집!C10</f>
        <v>19873</v>
      </c>
      <c r="F21" s="40"/>
      <c r="G21" s="197"/>
      <c r="H21" s="197"/>
    </row>
    <row r="22" spans="1:11" ht="21.95" hidden="1" customHeight="1">
      <c r="A22" s="201"/>
      <c r="B22" s="26" t="s">
        <v>42</v>
      </c>
      <c r="C22" s="199" t="s">
        <v>238</v>
      </c>
      <c r="D22" s="199"/>
      <c r="E22" s="36">
        <f>경집!C11</f>
        <v>0</v>
      </c>
      <c r="F22" s="40"/>
      <c r="G22" s="197"/>
      <c r="H22" s="197"/>
    </row>
    <row r="23" spans="1:11" ht="21.95" customHeight="1">
      <c r="A23" s="201"/>
      <c r="B23" s="26"/>
      <c r="C23" s="200"/>
      <c r="D23" s="200"/>
      <c r="E23" s="37"/>
      <c r="F23" s="41"/>
      <c r="G23" s="195"/>
      <c r="H23" s="195"/>
    </row>
    <row r="24" spans="1:11" ht="21.95" customHeight="1">
      <c r="A24" s="201"/>
      <c r="B24" s="27"/>
      <c r="C24" s="198" t="s">
        <v>43</v>
      </c>
      <c r="D24" s="198"/>
      <c r="E24" s="38">
        <f>SUM(E16:E23)</f>
        <v>3418879</v>
      </c>
      <c r="F24" s="42">
        <f>ROUND(E24/$E$27,4)</f>
        <v>7.2599999999999998E-2</v>
      </c>
      <c r="G24" s="196" t="s">
        <v>69</v>
      </c>
      <c r="H24" s="196"/>
    </row>
    <row r="25" spans="1:11" ht="21.95" customHeight="1">
      <c r="A25" s="31" t="s">
        <v>60</v>
      </c>
      <c r="B25" s="198" t="str">
        <f>"일반관리비("&amp;FIXED(K25,1)&amp;"%)"</f>
        <v>일반관리비(9.0%)</v>
      </c>
      <c r="C25" s="198"/>
      <c r="D25" s="198"/>
      <c r="E25" s="38">
        <f>INT((E9+E15+E24)*$K$25%)</f>
        <v>3537636</v>
      </c>
      <c r="F25" s="42">
        <f t="shared" ref="F25" si="0">ROUND(E25/$E$27,4)</f>
        <v>7.51E-2</v>
      </c>
      <c r="G25" s="196" t="str">
        <f>"(1. + 2. + 3.) × "&amp;FIXED(K25,1)&amp;"%"</f>
        <v>(1. + 2. + 3.) × 9.0%</v>
      </c>
      <c r="H25" s="196"/>
      <c r="J25" s="29" t="s">
        <v>66</v>
      </c>
      <c r="K25" s="28">
        <v>9</v>
      </c>
    </row>
    <row r="26" spans="1:11" ht="21.95" customHeight="1">
      <c r="A26" s="31" t="s">
        <v>61</v>
      </c>
      <c r="B26" s="198" t="str">
        <f>"이                       윤("&amp;FIXED(K26,1)&amp;"%)"</f>
        <v>이                       윤(10.0%)</v>
      </c>
      <c r="C26" s="198"/>
      <c r="D26" s="198"/>
      <c r="E26" s="38">
        <f>INT((E15+E24+E25)*$K$26%)-9183</f>
        <v>4275288</v>
      </c>
      <c r="F26" s="42">
        <f>ROUND(E26/$E$27,4)</f>
        <v>9.0700000000000003E-2</v>
      </c>
      <c r="G26" s="196" t="str">
        <f>"(2. + 3. + 4.) × "&amp;FIXED(K26,1)&amp;"%"</f>
        <v>(2. + 3. + 4.) × 10.0%</v>
      </c>
      <c r="H26" s="196"/>
      <c r="J26" s="29" t="s">
        <v>67</v>
      </c>
      <c r="K26" s="28">
        <v>10</v>
      </c>
    </row>
    <row r="27" spans="1:11" ht="21.95" customHeight="1">
      <c r="A27" s="31" t="s">
        <v>70</v>
      </c>
      <c r="B27" s="198" t="s">
        <v>62</v>
      </c>
      <c r="C27" s="198"/>
      <c r="D27" s="198"/>
      <c r="E27" s="38">
        <f>TRUNC(E9+E15+E24+E25+E26)</f>
        <v>47120000</v>
      </c>
      <c r="F27" s="42">
        <f>SUM(F15,F24,F25,F26)</f>
        <v>1</v>
      </c>
      <c r="G27" s="196"/>
      <c r="H27" s="196"/>
    </row>
    <row r="28" spans="1:11" ht="21.95" customHeight="1">
      <c r="A28" s="31" t="s">
        <v>381</v>
      </c>
      <c r="B28" s="198" t="s">
        <v>63</v>
      </c>
      <c r="C28" s="198"/>
      <c r="D28" s="198"/>
      <c r="E28" s="38">
        <f>INT(E27*10%)</f>
        <v>4712000</v>
      </c>
      <c r="F28" s="42"/>
      <c r="G28" s="196" t="s">
        <v>382</v>
      </c>
      <c r="H28" s="196"/>
    </row>
    <row r="29" spans="1:11" ht="21.95" customHeight="1">
      <c r="A29" s="31" t="s">
        <v>380</v>
      </c>
      <c r="B29" s="198" t="s">
        <v>64</v>
      </c>
      <c r="C29" s="198"/>
      <c r="D29" s="198"/>
      <c r="E29" s="38">
        <f>E27+E28</f>
        <v>51832000</v>
      </c>
      <c r="F29" s="42"/>
      <c r="G29" s="196" t="s">
        <v>383</v>
      </c>
      <c r="H29" s="196"/>
    </row>
    <row r="30" spans="1:11" ht="24.95" customHeight="1">
      <c r="A30" s="30" t="s">
        <v>65</v>
      </c>
      <c r="B30" s="30"/>
      <c r="C30" s="30"/>
      <c r="D30" s="30"/>
      <c r="E30" s="30"/>
      <c r="F30" s="30"/>
      <c r="G30" s="30"/>
      <c r="H30" s="30"/>
    </row>
  </sheetData>
  <mergeCells count="55">
    <mergeCell ref="A1:H1"/>
    <mergeCell ref="A4:C4"/>
    <mergeCell ref="A5:C5"/>
    <mergeCell ref="E4:E5"/>
    <mergeCell ref="F4:F5"/>
    <mergeCell ref="G4:H5"/>
    <mergeCell ref="A6:A24"/>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B26:D26"/>
    <mergeCell ref="B27:D27"/>
    <mergeCell ref="B28:D28"/>
    <mergeCell ref="B29:D29"/>
    <mergeCell ref="B25:D25"/>
    <mergeCell ref="G11:H11"/>
    <mergeCell ref="G17:H17"/>
    <mergeCell ref="G18:H18"/>
    <mergeCell ref="G19:H19"/>
    <mergeCell ref="G20:H20"/>
    <mergeCell ref="G12:H12"/>
    <mergeCell ref="G13:H13"/>
    <mergeCell ref="G14:H14"/>
    <mergeCell ref="G15:H15"/>
    <mergeCell ref="G27:H27"/>
    <mergeCell ref="G28:H28"/>
    <mergeCell ref="G29:H29"/>
    <mergeCell ref="G6:H6"/>
    <mergeCell ref="G7:H7"/>
    <mergeCell ref="G8:H8"/>
    <mergeCell ref="G9:H9"/>
    <mergeCell ref="G10:H10"/>
    <mergeCell ref="G16:H16"/>
    <mergeCell ref="G23:H23"/>
    <mergeCell ref="G24:H24"/>
    <mergeCell ref="G25:H25"/>
    <mergeCell ref="G26:H26"/>
    <mergeCell ref="G22:H22"/>
    <mergeCell ref="G21:H21"/>
  </mergeCells>
  <phoneticPr fontId="4" type="noConversion"/>
  <pageMargins left="0.59055118110236227" right="0.59055118110236227" top="1.0236220472440944" bottom="0.70866141732283472" header="0.70866141732283472" footer="0.51181102362204722"/>
  <pageSetup paperSize="9" orientation="portrait" r:id="rId1"/>
</worksheet>
</file>

<file path=xl/worksheets/sheet8.xml><?xml version="1.0" encoding="utf-8"?>
<worksheet xmlns="http://schemas.openxmlformats.org/spreadsheetml/2006/main" xmlns:r="http://schemas.openxmlformats.org/officeDocument/2006/relationships">
  <dimension ref="A1:H46"/>
  <sheetViews>
    <sheetView view="pageBreakPreview" topLeftCell="A25" zoomScaleNormal="100" zoomScaleSheetLayoutView="100" workbookViewId="0">
      <selection activeCell="I18" sqref="I18"/>
    </sheetView>
  </sheetViews>
  <sheetFormatPr defaultRowHeight="24.95" customHeight="1"/>
  <cols>
    <col min="1" max="1" width="5.625" style="2" customWidth="1"/>
    <col min="2" max="2" width="18.625" style="2" customWidth="1"/>
    <col min="3" max="7" width="15.625" style="2" customWidth="1"/>
    <col min="8" max="8" width="14.625" style="2" customWidth="1"/>
    <col min="9" max="16384" width="9" style="2"/>
  </cols>
  <sheetData>
    <row r="1" spans="1:8" ht="39.950000000000003" customHeight="1">
      <c r="A1" s="165" t="s">
        <v>288</v>
      </c>
      <c r="B1" s="165"/>
      <c r="C1" s="165"/>
      <c r="D1" s="165"/>
      <c r="E1" s="165"/>
      <c r="F1" s="165"/>
      <c r="G1" s="165"/>
      <c r="H1" s="165"/>
    </row>
    <row r="2" spans="1:8" ht="15" customHeight="1"/>
    <row r="3" spans="1:8" ht="24.75" customHeight="1">
      <c r="A3" s="24" t="str">
        <f>원가!A3</f>
        <v>▣ 건   명 : 경기상상캠퍼스 시설관리용역(시설, 미화, 경비)</v>
      </c>
      <c r="B3" s="24"/>
      <c r="C3" s="24"/>
      <c r="D3" s="24"/>
      <c r="E3" s="24"/>
      <c r="F3" s="24"/>
      <c r="G3" s="24"/>
      <c r="H3" s="43" t="s">
        <v>289</v>
      </c>
    </row>
    <row r="4" spans="1:8" s="20" customFormat="1" ht="20.100000000000001" customHeight="1">
      <c r="A4" s="212" t="s">
        <v>300</v>
      </c>
      <c r="B4" s="212"/>
      <c r="C4" s="123" t="s">
        <v>356</v>
      </c>
      <c r="D4" s="123" t="s">
        <v>358</v>
      </c>
      <c r="E4" s="123" t="s">
        <v>361</v>
      </c>
      <c r="F4" s="123" t="s">
        <v>363</v>
      </c>
      <c r="G4" s="144" t="s">
        <v>365</v>
      </c>
      <c r="H4" s="212" t="s">
        <v>301</v>
      </c>
    </row>
    <row r="5" spans="1:8" s="20" customFormat="1" ht="20.100000000000001" customHeight="1">
      <c r="A5" s="212"/>
      <c r="B5" s="212"/>
      <c r="C5" s="112">
        <v>1</v>
      </c>
      <c r="D5" s="112">
        <v>1</v>
      </c>
      <c r="E5" s="112">
        <v>1</v>
      </c>
      <c r="F5" s="112">
        <v>1</v>
      </c>
      <c r="G5" s="112">
        <v>1</v>
      </c>
      <c r="H5" s="212"/>
    </row>
    <row r="6" spans="1:8" s="20" customFormat="1" ht="24" customHeight="1">
      <c r="A6" s="175" t="s">
        <v>291</v>
      </c>
      <c r="B6" s="175"/>
      <c r="C6" s="108"/>
      <c r="D6" s="108"/>
      <c r="E6" s="108"/>
      <c r="F6" s="108"/>
      <c r="G6" s="108">
        <f>SUM(C6:F6)</f>
        <v>0</v>
      </c>
      <c r="H6" s="113"/>
    </row>
    <row r="7" spans="1:8" s="20" customFormat="1" ht="24" customHeight="1">
      <c r="A7" s="175" t="s">
        <v>298</v>
      </c>
      <c r="B7" s="175"/>
      <c r="C7" s="108"/>
      <c r="D7" s="108"/>
      <c r="E7" s="108"/>
      <c r="F7" s="108"/>
      <c r="G7" s="108"/>
      <c r="H7" s="113"/>
    </row>
    <row r="8" spans="1:8" s="20" customFormat="1" ht="24" customHeight="1">
      <c r="A8" s="210" t="s">
        <v>292</v>
      </c>
      <c r="B8" s="47" t="s">
        <v>293</v>
      </c>
      <c r="C8" s="108">
        <f>퇴직금!B6</f>
        <v>2807915</v>
      </c>
      <c r="D8" s="108">
        <f>퇴직금!B7</f>
        <v>2559205</v>
      </c>
      <c r="E8" s="108">
        <f>퇴직금!B8</f>
        <v>2559205</v>
      </c>
      <c r="F8" s="108">
        <f>퇴직금!B9</f>
        <v>2525138</v>
      </c>
      <c r="G8" s="108">
        <f>퇴직금!B10</f>
        <v>2525138</v>
      </c>
      <c r="H8" s="113"/>
    </row>
    <row r="9" spans="1:8" s="20" customFormat="1" ht="24" customHeight="1">
      <c r="A9" s="211"/>
      <c r="B9" s="47" t="s">
        <v>294</v>
      </c>
      <c r="C9" s="108">
        <f>퇴직금!C6</f>
        <v>467985</v>
      </c>
      <c r="D9" s="108">
        <f>퇴직금!C7</f>
        <v>319900</v>
      </c>
      <c r="E9" s="108">
        <f>퇴직금!C8</f>
        <v>319900</v>
      </c>
      <c r="F9" s="108">
        <f>퇴직금!C9</f>
        <v>210428</v>
      </c>
      <c r="G9" s="108">
        <f>퇴직금!C10</f>
        <v>210428</v>
      </c>
      <c r="H9" s="113"/>
    </row>
    <row r="10" spans="1:8" s="20" customFormat="1" ht="24" customHeight="1">
      <c r="A10" s="211"/>
      <c r="B10" s="47" t="s">
        <v>295</v>
      </c>
      <c r="C10" s="108">
        <f>퇴직금!D6</f>
        <v>156740</v>
      </c>
      <c r="D10" s="108">
        <f>퇴직금!D7</f>
        <v>148081</v>
      </c>
      <c r="E10" s="108">
        <f>퇴직금!D8</f>
        <v>148081</v>
      </c>
      <c r="F10" s="108">
        <f>퇴직금!D9</f>
        <v>140696</v>
      </c>
      <c r="G10" s="108">
        <f>퇴직금!D10</f>
        <v>140696</v>
      </c>
      <c r="H10" s="113"/>
    </row>
    <row r="11" spans="1:8" s="20" customFormat="1" ht="24" customHeight="1">
      <c r="A11" s="211"/>
      <c r="B11" s="47" t="s">
        <v>296</v>
      </c>
      <c r="C11" s="108">
        <f>퇴직금!G6</f>
        <v>286053</v>
      </c>
      <c r="D11" s="108">
        <f>퇴직금!G7</f>
        <v>252265</v>
      </c>
      <c r="E11" s="108">
        <f>퇴직금!G8</f>
        <v>252265</v>
      </c>
      <c r="F11" s="108">
        <f>퇴직금!G9</f>
        <v>239688</v>
      </c>
      <c r="G11" s="108">
        <f>퇴직금!G10</f>
        <v>239688</v>
      </c>
      <c r="H11" s="113"/>
    </row>
    <row r="12" spans="1:8" s="20" customFormat="1" ht="24" customHeight="1">
      <c r="A12" s="175" t="s">
        <v>298</v>
      </c>
      <c r="B12" s="175"/>
      <c r="C12" s="108">
        <f>SUM(C8:C11)</f>
        <v>3718693</v>
      </c>
      <c r="D12" s="108">
        <f t="shared" ref="D12:G12" si="0">SUM(D8:D11)</f>
        <v>3279451</v>
      </c>
      <c r="E12" s="108">
        <f t="shared" si="0"/>
        <v>3279451</v>
      </c>
      <c r="F12" s="108">
        <f t="shared" si="0"/>
        <v>3115950</v>
      </c>
      <c r="G12" s="108">
        <f t="shared" si="0"/>
        <v>3115950</v>
      </c>
      <c r="H12" s="113"/>
    </row>
    <row r="13" spans="1:8" s="20" customFormat="1" ht="24" customHeight="1">
      <c r="A13" s="210" t="s">
        <v>299</v>
      </c>
      <c r="B13" s="47" t="s">
        <v>274</v>
      </c>
      <c r="C13" s="108">
        <f>보험집!D6</f>
        <v>54922</v>
      </c>
      <c r="D13" s="108">
        <f>보험집!D7</f>
        <v>48434</v>
      </c>
      <c r="E13" s="108">
        <f>보험집!D8</f>
        <v>48434</v>
      </c>
      <c r="F13" s="108">
        <f>보험집!D9</f>
        <v>46020</v>
      </c>
      <c r="G13" s="108">
        <f>보험집!D10</f>
        <v>46020</v>
      </c>
      <c r="H13" s="113"/>
    </row>
    <row r="14" spans="1:8" s="20" customFormat="1" ht="24" customHeight="1">
      <c r="A14" s="210"/>
      <c r="B14" s="47" t="s">
        <v>275</v>
      </c>
      <c r="C14" s="108">
        <f>보험집!G6</f>
        <v>105038</v>
      </c>
      <c r="D14" s="108">
        <f>보험집!G7</f>
        <v>92631</v>
      </c>
      <c r="E14" s="108">
        <f>보험집!G8</f>
        <v>92631</v>
      </c>
      <c r="F14" s="108">
        <f>보험집!G9</f>
        <v>88013</v>
      </c>
      <c r="G14" s="108">
        <f>보험집!G10</f>
        <v>88013</v>
      </c>
      <c r="H14" s="113"/>
    </row>
    <row r="15" spans="1:8" s="20" customFormat="1" ht="24" customHeight="1">
      <c r="A15" s="210"/>
      <c r="B15" s="47" t="s">
        <v>276</v>
      </c>
      <c r="C15" s="108">
        <f>보험집!J6</f>
        <v>6879</v>
      </c>
      <c r="D15" s="108">
        <f>보험집!J7</f>
        <v>6067</v>
      </c>
      <c r="E15" s="108">
        <f>보험집!J8</f>
        <v>6067</v>
      </c>
      <c r="F15" s="108">
        <f>보험집!J9</f>
        <v>5764</v>
      </c>
      <c r="G15" s="108">
        <f>보험집!J10</f>
        <v>5764</v>
      </c>
      <c r="H15" s="113"/>
    </row>
    <row r="16" spans="1:8" s="20" customFormat="1" ht="24" customHeight="1">
      <c r="A16" s="210"/>
      <c r="B16" s="47" t="s">
        <v>277</v>
      </c>
      <c r="C16" s="108">
        <f>보험집!M6</f>
        <v>154468</v>
      </c>
      <c r="D16" s="108">
        <f>보험집!M7</f>
        <v>136223</v>
      </c>
      <c r="E16" s="108">
        <f>보험집!M8</f>
        <v>136223</v>
      </c>
      <c r="F16" s="108">
        <f>보험집!M9</f>
        <v>129431</v>
      </c>
      <c r="G16" s="108">
        <f>보험집!M10</f>
        <v>129431</v>
      </c>
      <c r="H16" s="113"/>
    </row>
    <row r="17" spans="1:8" s="20" customFormat="1" ht="24" customHeight="1">
      <c r="A17" s="210"/>
      <c r="B17" s="47" t="s">
        <v>278</v>
      </c>
      <c r="C17" s="108">
        <f>보험집!P6</f>
        <v>30893</v>
      </c>
      <c r="D17" s="108">
        <f>보험집!P7</f>
        <v>27244</v>
      </c>
      <c r="E17" s="108">
        <f>보험집!P8</f>
        <v>27244</v>
      </c>
      <c r="F17" s="108">
        <f>보험집!P9</f>
        <v>25886</v>
      </c>
      <c r="G17" s="108">
        <f>보험집!P10</f>
        <v>25886</v>
      </c>
      <c r="H17" s="113"/>
    </row>
    <row r="18" spans="1:8" s="20" customFormat="1" ht="24" customHeight="1">
      <c r="A18" s="210"/>
      <c r="B18" s="47" t="s">
        <v>279</v>
      </c>
      <c r="C18" s="108">
        <f>보험집!S6</f>
        <v>2059</v>
      </c>
      <c r="D18" s="108">
        <f>보험집!S7</f>
        <v>1816</v>
      </c>
      <c r="E18" s="108">
        <f>보험집!S8</f>
        <v>1816</v>
      </c>
      <c r="F18" s="108">
        <f>보험집!S9</f>
        <v>1725</v>
      </c>
      <c r="G18" s="108">
        <f>보험집!S10</f>
        <v>1725</v>
      </c>
      <c r="H18" s="113"/>
    </row>
    <row r="19" spans="1:8" s="20" customFormat="1" ht="24" customHeight="1" thickBot="1">
      <c r="A19" s="173" t="s">
        <v>298</v>
      </c>
      <c r="B19" s="173"/>
      <c r="C19" s="109">
        <f>SUM(C13:C18)</f>
        <v>354259</v>
      </c>
      <c r="D19" s="109">
        <f>SUM(D13:D18)</f>
        <v>312415</v>
      </c>
      <c r="E19" s="109">
        <f>SUM(E13:E18)</f>
        <v>312415</v>
      </c>
      <c r="F19" s="109">
        <f>SUM(F13:F18)</f>
        <v>296839</v>
      </c>
      <c r="G19" s="109">
        <f>SUM(G13:G18)</f>
        <v>296839</v>
      </c>
      <c r="H19" s="114"/>
    </row>
    <row r="20" spans="1:8" s="20" customFormat="1" ht="24" customHeight="1" thickTop="1">
      <c r="A20" s="209" t="s">
        <v>26</v>
      </c>
      <c r="B20" s="209"/>
      <c r="C20" s="110">
        <f>C12+C19</f>
        <v>4072952</v>
      </c>
      <c r="D20" s="110">
        <f>D12+D19</f>
        <v>3591866</v>
      </c>
      <c r="E20" s="110">
        <f>E12+E19</f>
        <v>3591866</v>
      </c>
      <c r="F20" s="110">
        <f>F12+F19</f>
        <v>3412789</v>
      </c>
      <c r="G20" s="110">
        <f>G12+G19</f>
        <v>3412789</v>
      </c>
      <c r="H20" s="115"/>
    </row>
    <row r="21" spans="1:8" s="20" customFormat="1" ht="20.100000000000001" customHeight="1">
      <c r="A21" s="212" t="s">
        <v>300</v>
      </c>
      <c r="B21" s="212"/>
      <c r="C21" s="144" t="s">
        <v>370</v>
      </c>
      <c r="D21" s="144" t="s">
        <v>388</v>
      </c>
      <c r="E21" s="144" t="s">
        <v>372</v>
      </c>
      <c r="F21" s="144" t="s">
        <v>317</v>
      </c>
      <c r="G21" s="213" t="s">
        <v>316</v>
      </c>
      <c r="H21" s="212" t="s">
        <v>5</v>
      </c>
    </row>
    <row r="22" spans="1:8" s="20" customFormat="1" ht="20.100000000000001" customHeight="1">
      <c r="A22" s="212"/>
      <c r="B22" s="212"/>
      <c r="C22" s="112">
        <v>1</v>
      </c>
      <c r="D22" s="112">
        <v>4</v>
      </c>
      <c r="E22" s="112">
        <v>1</v>
      </c>
      <c r="F22" s="112">
        <v>2</v>
      </c>
      <c r="G22" s="214"/>
      <c r="H22" s="212"/>
    </row>
    <row r="23" spans="1:8" s="20" customFormat="1" ht="24" customHeight="1">
      <c r="A23" s="175" t="s">
        <v>291</v>
      </c>
      <c r="B23" s="175"/>
      <c r="C23" s="108"/>
      <c r="D23" s="108"/>
      <c r="E23" s="108"/>
      <c r="F23" s="108"/>
      <c r="G23" s="108"/>
      <c r="H23" s="113"/>
    </row>
    <row r="24" spans="1:8" s="20" customFormat="1" ht="24" customHeight="1">
      <c r="A24" s="175" t="s">
        <v>298</v>
      </c>
      <c r="B24" s="175"/>
      <c r="C24" s="108"/>
      <c r="D24" s="108"/>
      <c r="E24" s="108"/>
      <c r="F24" s="108"/>
      <c r="G24" s="108"/>
      <c r="H24" s="113"/>
    </row>
    <row r="25" spans="1:8" s="20" customFormat="1" ht="24" customHeight="1">
      <c r="A25" s="210" t="s">
        <v>292</v>
      </c>
      <c r="B25" s="143" t="s">
        <v>293</v>
      </c>
      <c r="C25" s="108">
        <f>퇴직금!B11</f>
        <v>1799908</v>
      </c>
      <c r="D25" s="108">
        <f>퇴직금!B12</f>
        <v>7199632</v>
      </c>
      <c r="E25" s="108">
        <f>퇴직금!B13</f>
        <v>1799908</v>
      </c>
      <c r="F25" s="108">
        <f>퇴직금!B14</f>
        <v>3599816</v>
      </c>
      <c r="G25" s="108">
        <f>SUM(C8:G8)+SUM(C25:F25)</f>
        <v>27375865</v>
      </c>
      <c r="H25" s="113"/>
    </row>
    <row r="26" spans="1:8" s="20" customFormat="1" ht="24" customHeight="1">
      <c r="A26" s="211"/>
      <c r="B26" s="143" t="s">
        <v>294</v>
      </c>
      <c r="C26" s="108">
        <f>퇴직금!C11</f>
        <v>299984</v>
      </c>
      <c r="D26" s="108">
        <f>퇴직금!C12</f>
        <v>899954</v>
      </c>
      <c r="E26" s="108">
        <f>퇴직금!C13</f>
        <v>299984</v>
      </c>
      <c r="F26" s="108">
        <f>퇴직금!C14</f>
        <v>149992</v>
      </c>
      <c r="G26" s="108">
        <f>SUM(C9:G9)+SUM(C26:F26)</f>
        <v>3178555</v>
      </c>
      <c r="H26" s="113"/>
    </row>
    <row r="27" spans="1:8" s="20" customFormat="1" ht="24" customHeight="1">
      <c r="A27" s="211"/>
      <c r="B27" s="143" t="s">
        <v>295</v>
      </c>
      <c r="C27" s="108">
        <f>퇴직금!D11</f>
        <v>100470</v>
      </c>
      <c r="D27" s="108">
        <f>퇴직금!D12</f>
        <v>555474</v>
      </c>
      <c r="E27" s="108">
        <f>퇴직금!D13</f>
        <v>414031</v>
      </c>
      <c r="F27" s="108">
        <f>퇴직금!D14</f>
        <v>768881</v>
      </c>
      <c r="G27" s="108">
        <f>SUM(C10:G10)+SUM(C27:F27)</f>
        <v>2573150</v>
      </c>
      <c r="H27" s="113"/>
    </row>
    <row r="28" spans="1:8" s="20" customFormat="1" ht="24" customHeight="1">
      <c r="A28" s="211"/>
      <c r="B28" s="143" t="s">
        <v>296</v>
      </c>
      <c r="C28" s="108">
        <f>퇴직금!G11</f>
        <v>183363</v>
      </c>
      <c r="D28" s="108">
        <f>퇴직금!G12</f>
        <v>721255</v>
      </c>
      <c r="E28" s="108">
        <f>퇴직금!G13</f>
        <v>209493</v>
      </c>
      <c r="F28" s="108">
        <f>퇴직금!G14</f>
        <v>376557</v>
      </c>
      <c r="G28" s="108">
        <f>SUM(C11:G11)+SUM(C28:F28)</f>
        <v>2760627</v>
      </c>
      <c r="H28" s="113"/>
    </row>
    <row r="29" spans="1:8" s="20" customFormat="1" ht="24" customHeight="1">
      <c r="A29" s="175" t="s">
        <v>298</v>
      </c>
      <c r="B29" s="175"/>
      <c r="C29" s="108">
        <f>SUM(C25:C28)</f>
        <v>2383725</v>
      </c>
      <c r="D29" s="108">
        <f t="shared" ref="D29:G29" si="1">SUM(D25:D28)</f>
        <v>9376315</v>
      </c>
      <c r="E29" s="108">
        <f t="shared" si="1"/>
        <v>2723416</v>
      </c>
      <c r="F29" s="108">
        <f t="shared" si="1"/>
        <v>4895246</v>
      </c>
      <c r="G29" s="108">
        <f t="shared" si="1"/>
        <v>35888197</v>
      </c>
      <c r="H29" s="113"/>
    </row>
    <row r="30" spans="1:8" s="20" customFormat="1" ht="24" customHeight="1">
      <c r="A30" s="210" t="s">
        <v>299</v>
      </c>
      <c r="B30" s="143" t="s">
        <v>274</v>
      </c>
      <c r="C30" s="108">
        <f>보험집!D11</f>
        <v>35205</v>
      </c>
      <c r="D30" s="108">
        <f>보험집!D12</f>
        <v>138480</v>
      </c>
      <c r="E30" s="108">
        <f>보험집!D13</f>
        <v>40222</v>
      </c>
      <c r="F30" s="108">
        <f>보험집!D14</f>
        <v>72299</v>
      </c>
      <c r="G30" s="108">
        <f t="shared" ref="G30:G35" si="2">SUM(C13:G13)+SUM(C30:F30)</f>
        <v>530036</v>
      </c>
      <c r="H30" s="113"/>
    </row>
    <row r="31" spans="1:8" s="20" customFormat="1" ht="24" customHeight="1">
      <c r="A31" s="210"/>
      <c r="B31" s="143" t="s">
        <v>275</v>
      </c>
      <c r="C31" s="108">
        <f>보험집!G11</f>
        <v>67331</v>
      </c>
      <c r="D31" s="108">
        <f>보험집!G12</f>
        <v>264844</v>
      </c>
      <c r="E31" s="108">
        <f>보험집!G13</f>
        <v>76926</v>
      </c>
      <c r="F31" s="108">
        <f>보험집!G14</f>
        <v>138271</v>
      </c>
      <c r="G31" s="108">
        <f t="shared" si="2"/>
        <v>1013698</v>
      </c>
      <c r="H31" s="113"/>
    </row>
    <row r="32" spans="1:8" s="20" customFormat="1" ht="24" customHeight="1">
      <c r="A32" s="210"/>
      <c r="B32" s="143" t="s">
        <v>276</v>
      </c>
      <c r="C32" s="108">
        <f>보험집!J11</f>
        <v>4410</v>
      </c>
      <c r="D32" s="108">
        <f>보험집!J12</f>
        <v>17347</v>
      </c>
      <c r="E32" s="108">
        <f>보험집!J13</f>
        <v>5038</v>
      </c>
      <c r="F32" s="108">
        <f>보험집!J14</f>
        <v>9056</v>
      </c>
      <c r="G32" s="108">
        <f t="shared" si="2"/>
        <v>66392</v>
      </c>
      <c r="H32" s="113"/>
    </row>
    <row r="33" spans="1:8" s="20" customFormat="1" ht="24" customHeight="1">
      <c r="A33" s="210"/>
      <c r="B33" s="143" t="s">
        <v>277</v>
      </c>
      <c r="C33" s="108">
        <f>보험집!M11</f>
        <v>99016</v>
      </c>
      <c r="D33" s="108">
        <f>보험집!M12</f>
        <v>389477</v>
      </c>
      <c r="E33" s="108">
        <f>보험집!M13</f>
        <v>113126</v>
      </c>
      <c r="F33" s="108">
        <f>보험집!M14</f>
        <v>203341</v>
      </c>
      <c r="G33" s="108">
        <f t="shared" si="2"/>
        <v>1490736</v>
      </c>
      <c r="H33" s="113"/>
    </row>
    <row r="34" spans="1:8" s="20" customFormat="1" ht="24" customHeight="1">
      <c r="A34" s="210"/>
      <c r="B34" s="143" t="s">
        <v>278</v>
      </c>
      <c r="C34" s="108">
        <f>보험집!P11</f>
        <v>19803</v>
      </c>
      <c r="D34" s="108">
        <f>보험집!P12</f>
        <v>77895</v>
      </c>
      <c r="E34" s="108">
        <f>보험집!P13</f>
        <v>22625</v>
      </c>
      <c r="F34" s="108">
        <f>보험집!P14</f>
        <v>40668</v>
      </c>
      <c r="G34" s="108">
        <f t="shared" si="2"/>
        <v>298144</v>
      </c>
      <c r="H34" s="113"/>
    </row>
    <row r="35" spans="1:8" s="20" customFormat="1" ht="24" customHeight="1">
      <c r="A35" s="210"/>
      <c r="B35" s="143" t="s">
        <v>279</v>
      </c>
      <c r="C35" s="108">
        <f>보험집!S11</f>
        <v>1320</v>
      </c>
      <c r="D35" s="108">
        <f>보험집!S12</f>
        <v>5193</v>
      </c>
      <c r="E35" s="108">
        <f>보험집!S13</f>
        <v>1508</v>
      </c>
      <c r="F35" s="108">
        <f>보험집!S14</f>
        <v>2711</v>
      </c>
      <c r="G35" s="108">
        <f t="shared" si="2"/>
        <v>19873</v>
      </c>
      <c r="H35" s="113"/>
    </row>
    <row r="36" spans="1:8" s="20" customFormat="1" ht="24" customHeight="1" thickBot="1">
      <c r="A36" s="173" t="s">
        <v>298</v>
      </c>
      <c r="B36" s="173"/>
      <c r="C36" s="109">
        <f>SUM(C30:C35)</f>
        <v>227085</v>
      </c>
      <c r="D36" s="109">
        <f>SUM(D30:D35)</f>
        <v>893236</v>
      </c>
      <c r="E36" s="109">
        <f>SUM(E30:E35)</f>
        <v>259445</v>
      </c>
      <c r="F36" s="109">
        <f>SUM(F30:F35)</f>
        <v>466346</v>
      </c>
      <c r="G36" s="109">
        <f>SUM(G30:G35)</f>
        <v>3418879</v>
      </c>
      <c r="H36" s="114"/>
    </row>
    <row r="37" spans="1:8" s="20" customFormat="1" ht="24" customHeight="1" thickTop="1">
      <c r="A37" s="209" t="s">
        <v>26</v>
      </c>
      <c r="B37" s="209"/>
      <c r="C37" s="110">
        <f>C29+C36</f>
        <v>2610810</v>
      </c>
      <c r="D37" s="110">
        <f>D29+D36</f>
        <v>10269551</v>
      </c>
      <c r="E37" s="110">
        <f>E29+E36</f>
        <v>2982861</v>
      </c>
      <c r="F37" s="110">
        <f>F29+F36</f>
        <v>5361592</v>
      </c>
      <c r="G37" s="110">
        <f>G29+G36</f>
        <v>39307076</v>
      </c>
      <c r="H37" s="115"/>
    </row>
    <row r="38" spans="1:8" ht="24.95" customHeight="1">
      <c r="A38" s="20" t="s">
        <v>297</v>
      </c>
      <c r="B38" s="64"/>
    </row>
    <row r="39" spans="1:8" ht="24.95" customHeight="1">
      <c r="A39" s="20" t="s">
        <v>390</v>
      </c>
      <c r="B39" s="64"/>
    </row>
    <row r="41" spans="1:8" ht="24.95" customHeight="1">
      <c r="C41" s="65">
        <f>C12/C5</f>
        <v>3718693</v>
      </c>
      <c r="D41" s="65">
        <f t="shared" ref="D41:G41" si="3">D12/D5</f>
        <v>3279451</v>
      </c>
      <c r="E41" s="65">
        <f t="shared" si="3"/>
        <v>3279451</v>
      </c>
      <c r="F41" s="65">
        <f t="shared" si="3"/>
        <v>3115950</v>
      </c>
      <c r="G41" s="65">
        <f t="shared" si="3"/>
        <v>3115950</v>
      </c>
    </row>
    <row r="42" spans="1:8" ht="24.95" customHeight="1">
      <c r="C42" s="65">
        <f>C41*88.745%</f>
        <v>3300154.1028500004</v>
      </c>
      <c r="D42" s="65">
        <f t="shared" ref="D42:G42" si="4">D41*88.745%</f>
        <v>2910348.7899500001</v>
      </c>
      <c r="E42" s="65">
        <f t="shared" si="4"/>
        <v>2910348.7899500001</v>
      </c>
      <c r="F42" s="65">
        <f t="shared" si="4"/>
        <v>2765249.8275000001</v>
      </c>
      <c r="G42" s="65">
        <f t="shared" si="4"/>
        <v>2765249.8275000001</v>
      </c>
    </row>
    <row r="43" spans="1:8" ht="24.95" customHeight="1">
      <c r="B43" s="2" t="s">
        <v>473</v>
      </c>
      <c r="C43" s="65">
        <v>3830908</v>
      </c>
      <c r="D43" s="65">
        <v>3654340</v>
      </c>
      <c r="E43" s="65">
        <v>3881888</v>
      </c>
      <c r="F43" s="65">
        <v>3654340</v>
      </c>
      <c r="G43" s="65">
        <v>3654340</v>
      </c>
    </row>
    <row r="44" spans="1:8" ht="24.95" customHeight="1">
      <c r="C44" s="65">
        <f>C29/C22</f>
        <v>2383725</v>
      </c>
      <c r="D44" s="65">
        <f t="shared" ref="D44:F44" si="5">D29/D22</f>
        <v>2344078.75</v>
      </c>
      <c r="E44" s="65">
        <f t="shared" si="5"/>
        <v>2723416</v>
      </c>
      <c r="F44" s="65">
        <f t="shared" si="5"/>
        <v>2447623</v>
      </c>
      <c r="G44" s="65"/>
    </row>
    <row r="45" spans="1:8" ht="24.95" customHeight="1">
      <c r="C45" s="65">
        <f t="shared" ref="C45:F45" si="6">C44*88.745%</f>
        <v>2115436.7512500002</v>
      </c>
      <c r="D45" s="65">
        <f t="shared" si="6"/>
        <v>2080252.6866875002</v>
      </c>
      <c r="E45" s="65">
        <f t="shared" si="6"/>
        <v>2416895.5292000002</v>
      </c>
      <c r="F45" s="65">
        <f t="shared" si="6"/>
        <v>2172143.0313500003</v>
      </c>
      <c r="G45" s="65"/>
    </row>
    <row r="46" spans="1:8" ht="24.95" customHeight="1">
      <c r="B46" s="2" t="s">
        <v>473</v>
      </c>
      <c r="C46" s="65">
        <v>3058064</v>
      </c>
      <c r="D46" s="65">
        <v>2268223</v>
      </c>
      <c r="E46" s="65">
        <v>3058064</v>
      </c>
      <c r="F46" s="65">
        <v>2138676</v>
      </c>
      <c r="G46" s="65"/>
    </row>
  </sheetData>
  <mergeCells count="20">
    <mergeCell ref="A25:A28"/>
    <mergeCell ref="A29:B29"/>
    <mergeCell ref="A30:A35"/>
    <mergeCell ref="A36:B36"/>
    <mergeCell ref="A37:B37"/>
    <mergeCell ref="A21:B22"/>
    <mergeCell ref="G21:G22"/>
    <mergeCell ref="H21:H22"/>
    <mergeCell ref="A23:B23"/>
    <mergeCell ref="A24:B24"/>
    <mergeCell ref="A1:H1"/>
    <mergeCell ref="A20:B20"/>
    <mergeCell ref="A8:A11"/>
    <mergeCell ref="A13:A18"/>
    <mergeCell ref="A4:B5"/>
    <mergeCell ref="A6:B6"/>
    <mergeCell ref="A7:B7"/>
    <mergeCell ref="A12:B12"/>
    <mergeCell ref="A19:B19"/>
    <mergeCell ref="H4:H5"/>
  </mergeCells>
  <phoneticPr fontId="4" type="noConversion"/>
  <pageMargins left="0.70866141732283472" right="0.98425196850393704" top="0.78740157480314965" bottom="0.59055118110236227" header="0.59055118110236227" footer="0.39370078740157483"/>
  <pageSetup paperSize="9" orientation="landscape" r:id="rId1"/>
</worksheet>
</file>

<file path=xl/worksheets/sheet9.xml><?xml version="1.0" encoding="utf-8"?>
<worksheet xmlns="http://schemas.openxmlformats.org/spreadsheetml/2006/main" xmlns:r="http://schemas.openxmlformats.org/officeDocument/2006/relationships">
  <dimension ref="A1:A2"/>
  <sheetViews>
    <sheetView view="pageBreakPreview" zoomScaleNormal="100" zoomScaleSheetLayoutView="100" workbookViewId="0">
      <selection activeCell="I18" sqref="I18"/>
    </sheetView>
  </sheetViews>
  <sheetFormatPr defaultRowHeight="30" customHeight="1"/>
  <cols>
    <col min="1" max="1" width="83.25" style="2" customWidth="1"/>
    <col min="2" max="16384" width="9" style="2"/>
  </cols>
  <sheetData>
    <row r="1" spans="1:1" ht="45" customHeight="1">
      <c r="A1" s="23" t="s">
        <v>71</v>
      </c>
    </row>
    <row r="2" spans="1:1" ht="45" customHeight="1"/>
  </sheetData>
  <phoneticPr fontId="4" type="noConversion"/>
  <pageMargins left="0.59055118110236227" right="0.59055118110236227" top="3.1496062992125986" bottom="6.87" header="0.7086614173228347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35</vt:i4>
      </vt:variant>
      <vt:variant>
        <vt:lpstr>이름이 지정된 범위</vt:lpstr>
      </vt:variant>
      <vt:variant>
        <vt:i4>41</vt:i4>
      </vt:variant>
    </vt:vector>
  </HeadingPairs>
  <TitlesOfParts>
    <vt:vector size="76" baseType="lpstr">
      <vt:lpstr>목차</vt:lpstr>
      <vt:lpstr>본문</vt:lpstr>
      <vt:lpstr>개요</vt:lpstr>
      <vt:lpstr>기준</vt:lpstr>
      <vt:lpstr>내용</vt:lpstr>
      <vt:lpstr>원간</vt:lpstr>
      <vt:lpstr>원가</vt:lpstr>
      <vt:lpstr>집계표</vt:lpstr>
      <vt:lpstr>노간</vt:lpstr>
      <vt:lpstr>노기</vt:lpstr>
      <vt:lpstr>근로형태</vt:lpstr>
      <vt:lpstr>근로산식</vt:lpstr>
      <vt:lpstr>근로시간</vt:lpstr>
      <vt:lpstr>인집</vt:lpstr>
      <vt:lpstr>기본급</vt:lpstr>
      <vt:lpstr>상여금</vt:lpstr>
      <vt:lpstr>제수당</vt:lpstr>
      <vt:lpstr>연차</vt:lpstr>
      <vt:lpstr>퇴직금</vt:lpstr>
      <vt:lpstr>노임</vt:lpstr>
      <vt:lpstr>통상임금</vt:lpstr>
      <vt:lpstr>경간</vt:lpstr>
      <vt:lpstr>경기</vt:lpstr>
      <vt:lpstr>경집</vt:lpstr>
      <vt:lpstr>보험집</vt:lpstr>
      <vt:lpstr>산재</vt:lpstr>
      <vt:lpstr>건강</vt:lpstr>
      <vt:lpstr>노인</vt:lpstr>
      <vt:lpstr>연금</vt:lpstr>
      <vt:lpstr>고용</vt:lpstr>
      <vt:lpstr>임채</vt:lpstr>
      <vt:lpstr>석면</vt:lpstr>
      <vt:lpstr>참간</vt:lpstr>
      <vt:lpstr>가</vt:lpstr>
      <vt:lpstr>세</vt:lpstr>
      <vt:lpstr>가!Print_Area</vt:lpstr>
      <vt:lpstr>건강!Print_Area</vt:lpstr>
      <vt:lpstr>경기!Print_Area</vt:lpstr>
      <vt:lpstr>경집!Print_Area</vt:lpstr>
      <vt:lpstr>고용!Print_Area</vt:lpstr>
      <vt:lpstr>기본급!Print_Area</vt:lpstr>
      <vt:lpstr>기준!Print_Area</vt:lpstr>
      <vt:lpstr>노인!Print_Area</vt:lpstr>
      <vt:lpstr>노임!Print_Area</vt:lpstr>
      <vt:lpstr>산재!Print_Area</vt:lpstr>
      <vt:lpstr>상여금!Print_Area</vt:lpstr>
      <vt:lpstr>석면!Print_Area</vt:lpstr>
      <vt:lpstr>연금!Print_Area</vt:lpstr>
      <vt:lpstr>연차!Print_Area</vt:lpstr>
      <vt:lpstr>원가!Print_Area</vt:lpstr>
      <vt:lpstr>임채!Print_Area</vt:lpstr>
      <vt:lpstr>제수당!Print_Area</vt:lpstr>
      <vt:lpstr>집계표!Print_Area</vt:lpstr>
      <vt:lpstr>통상임금!Print_Area</vt:lpstr>
      <vt:lpstr>퇴직금!Print_Area</vt:lpstr>
      <vt:lpstr>건강!Print_Titles</vt:lpstr>
      <vt:lpstr>고용!Print_Titles</vt:lpstr>
      <vt:lpstr>근로산식!Print_Titles</vt:lpstr>
      <vt:lpstr>근로시간!Print_Titles</vt:lpstr>
      <vt:lpstr>근로형태!Print_Titles</vt:lpstr>
      <vt:lpstr>기본급!Print_Titles</vt:lpstr>
      <vt:lpstr>노인!Print_Titles</vt:lpstr>
      <vt:lpstr>노임!Print_Titles</vt:lpstr>
      <vt:lpstr>보험집!Print_Titles</vt:lpstr>
      <vt:lpstr>산재!Print_Titles</vt:lpstr>
      <vt:lpstr>상여금!Print_Titles</vt:lpstr>
      <vt:lpstr>석면!Print_Titles</vt:lpstr>
      <vt:lpstr>연금!Print_Titles</vt:lpstr>
      <vt:lpstr>연차!Print_Titles</vt:lpstr>
      <vt:lpstr>인집!Print_Titles</vt:lpstr>
      <vt:lpstr>임채!Print_Titles</vt:lpstr>
      <vt:lpstr>제수당!Print_Titles</vt:lpstr>
      <vt:lpstr>집계표!Print_Titles</vt:lpstr>
      <vt:lpstr>통상임금!Print_Titles</vt:lpstr>
      <vt:lpstr>퇴직금!Print_Titles</vt:lpstr>
      <vt:lpstr>노임</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2017-11-22T08:13:53Z</dcterms:modified>
</cp:coreProperties>
</file>