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675" tabRatio="825" activeTab="0"/>
  </bookViews>
  <sheets>
    <sheet name="재무상태표(2018.12.31)" sheetId="1" r:id="rId1"/>
    <sheet name="재무상태표-사이트별(2018.12.31)" sheetId="2" r:id="rId2"/>
    <sheet name="손익계산서 (2018.12.31)" sheetId="3" r:id="rId3"/>
    <sheet name="손익계산서-사이트별(2018.12.31)" sheetId="4" r:id="rId4"/>
    <sheet name="고유목적사업비명세서 (2018.12.31)" sheetId="5" r:id="rId5"/>
    <sheet name="고유목적사업비명세서-사이트별(2018.12.31)" sheetId="6" r:id="rId6"/>
    <sheet name="연구원원가명세서(2018.12.31)" sheetId="7" r:id="rId7"/>
    <sheet name="이익잉여금처분계산서(2018.12.31)" sheetId="8" r:id="rId8"/>
    <sheet name="합계잔액시산표(2018.12.31" sheetId="9" r:id="rId9"/>
  </sheets>
  <definedNames>
    <definedName name="_xlnm.Print_Area" localSheetId="4">'고유목적사업비명세서 (2018.12.31)'!$A$1:$I$54</definedName>
    <definedName name="_xlnm.Print_Area" localSheetId="5">'고유목적사업비명세서-사이트별(2018.12.31)'!$A$1:$R$55</definedName>
    <definedName name="_xlnm.Print_Area" localSheetId="2">'손익계산서 (2018.12.31)'!$A$1:$Q$103</definedName>
    <definedName name="_xlnm.Print_Area" localSheetId="3">'손익계산서-사이트별(2018.12.31)'!$A$1:$R$89</definedName>
    <definedName name="_xlnm.Print_Area" localSheetId="0">'재무상태표(2018.12.31)'!$A$1:$P$89</definedName>
    <definedName name="_xlnm.Print_Area" localSheetId="1">'재무상태표-사이트별(2018.12.31)'!$A$1:$R$91</definedName>
    <definedName name="_xlnm.Print_Titles" localSheetId="4">'고유목적사업비명세서 (2018.12.31)'!$6:$7</definedName>
    <definedName name="_xlnm.Print_Titles" localSheetId="5">'고유목적사업비명세서-사이트별(2018.12.31)'!$1:$7</definedName>
    <definedName name="_xlnm.Print_Titles" localSheetId="2">'손익계산서 (2018.12.31)'!$1:$7</definedName>
    <definedName name="_xlnm.Print_Titles" localSheetId="3">'손익계산서-사이트별(2018.12.31)'!$1:$7</definedName>
    <definedName name="_xlnm.Print_Titles" localSheetId="0">'재무상태표(2018.12.31)'!$1:$7</definedName>
    <definedName name="_xlnm.Print_Titles" localSheetId="1">'재무상태표-사이트별(2018.12.31)'!$1:$5</definedName>
    <definedName name="_xlnm.Print_Titles" localSheetId="8">'합계잔액시산표(2018.12.31'!$6:$7</definedName>
  </definedNames>
  <calcPr fullCalcOnLoad="1" fullPrecision="0"/>
</workbook>
</file>

<file path=xl/comments2.xml><?xml version="1.0" encoding="utf-8"?>
<comments xmlns="http://schemas.openxmlformats.org/spreadsheetml/2006/main">
  <authors>
    <author>이수승</author>
    <author>USER</author>
  </authors>
  <commentList>
    <comment ref="C88" authorId="0">
      <text>
        <r>
          <rPr>
            <sz val="9"/>
            <rFont val="굴림"/>
            <family val="3"/>
          </rPr>
          <t>전기대차대조표상에서전기이월+당기순이익</t>
        </r>
      </text>
    </comment>
    <comment ref="C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제예금</t>
        </r>
        <r>
          <rPr>
            <sz val="9"/>
            <rFont val="Tahoma"/>
            <family val="2"/>
          </rPr>
          <t>+</t>
        </r>
        <r>
          <rPr>
            <sz val="9"/>
            <rFont val="돋움"/>
            <family val="3"/>
          </rPr>
          <t>정기예금</t>
        </r>
        <r>
          <rPr>
            <sz val="9"/>
            <rFont val="Tahoma"/>
            <family val="2"/>
          </rPr>
          <t>+</t>
        </r>
        <r>
          <rPr>
            <sz val="9"/>
            <rFont val="돋움"/>
            <family val="3"/>
          </rPr>
          <t>장기금융상품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3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전기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미완성용역</t>
        </r>
      </text>
    </comment>
    <comment ref="A4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공사손실충당부채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전입</t>
        </r>
      </text>
    </comment>
    <comment ref="A4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당기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미완성용역</t>
        </r>
      </text>
    </comment>
    <comment ref="A4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공사손실충당부채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환입</t>
        </r>
      </text>
    </comment>
  </commentList>
</comments>
</file>

<file path=xl/sharedStrings.xml><?xml version="1.0" encoding="utf-8"?>
<sst xmlns="http://schemas.openxmlformats.org/spreadsheetml/2006/main" count="811" uniqueCount="447">
  <si>
    <t>Ⅰ.</t>
  </si>
  <si>
    <t>유가증권</t>
  </si>
  <si>
    <t>미수수익</t>
  </si>
  <si>
    <t>Ⅱ.</t>
  </si>
  <si>
    <t>(1)</t>
  </si>
  <si>
    <t>기금예치금</t>
  </si>
  <si>
    <t>(2)</t>
  </si>
  <si>
    <t>차량운반구</t>
  </si>
  <si>
    <t>집기비품</t>
  </si>
  <si>
    <t>미지급금</t>
  </si>
  <si>
    <t>예수금</t>
  </si>
  <si>
    <t>국민연금전환금</t>
  </si>
  <si>
    <t>기금</t>
  </si>
  <si>
    <t>감가상각누계액</t>
  </si>
  <si>
    <t>유   동   자   산</t>
  </si>
  <si>
    <t>유   동   부   채</t>
  </si>
  <si>
    <t>자     본     금</t>
  </si>
  <si>
    <t>자            본</t>
  </si>
  <si>
    <t>Ⅳ.</t>
  </si>
  <si>
    <t>세금과공과</t>
  </si>
  <si>
    <t>복리후생비</t>
  </si>
  <si>
    <t>감가상각비</t>
  </si>
  <si>
    <t>여비교통비</t>
  </si>
  <si>
    <t>업무추진비</t>
  </si>
  <si>
    <t>교육훈련비</t>
  </si>
  <si>
    <t>Ⅴ.</t>
  </si>
  <si>
    <t>소모품비</t>
  </si>
  <si>
    <t>Ⅲ.</t>
  </si>
  <si>
    <t>Ⅵ.</t>
  </si>
  <si>
    <t>Ⅶ.</t>
  </si>
  <si>
    <t>(단위:원)</t>
  </si>
  <si>
    <t>자산</t>
  </si>
  <si>
    <t>부채</t>
  </si>
  <si>
    <t>자본총계</t>
  </si>
  <si>
    <t>부채와자본총계</t>
  </si>
  <si>
    <t>부채총계</t>
  </si>
  <si>
    <t>자산총계</t>
  </si>
  <si>
    <t>기타보증금</t>
  </si>
  <si>
    <t>경기문화재단</t>
  </si>
  <si>
    <t xml:space="preserve"> 손     익     계     산     서</t>
  </si>
  <si>
    <t>계간지발간수입</t>
  </si>
  <si>
    <t>고유목적사업원가</t>
  </si>
  <si>
    <t>사업수익</t>
  </si>
  <si>
    <t>판매비와관리비</t>
  </si>
  <si>
    <t>법인세등</t>
  </si>
  <si>
    <t>공구와기구</t>
  </si>
  <si>
    <t>부가세대급금</t>
  </si>
  <si>
    <t>토지</t>
  </si>
  <si>
    <t>도위탁예수금</t>
  </si>
  <si>
    <t>임대보증금</t>
  </si>
  <si>
    <t>Ⅷ.</t>
  </si>
  <si>
    <t>Ⅸ.</t>
  </si>
  <si>
    <t>수도광열비</t>
  </si>
  <si>
    <t>유지관리비</t>
  </si>
  <si>
    <t>도서인쇄비</t>
  </si>
  <si>
    <t>광고선전비</t>
  </si>
  <si>
    <t>지급용역료</t>
  </si>
  <si>
    <t>미수금</t>
  </si>
  <si>
    <t>건물</t>
  </si>
  <si>
    <t>임대원가</t>
  </si>
  <si>
    <t>이자수익</t>
  </si>
  <si>
    <t>합계</t>
  </si>
  <si>
    <t>예수보증금</t>
  </si>
  <si>
    <t>기타유형자산</t>
  </si>
  <si>
    <t>기계장치</t>
  </si>
  <si>
    <t>퇴직급여충당금전입</t>
  </si>
  <si>
    <t>특별이익</t>
  </si>
  <si>
    <t>특별손실</t>
  </si>
  <si>
    <t>Ⅸ.</t>
  </si>
  <si>
    <t>법인세차감전이익(손실)</t>
  </si>
  <si>
    <t>지급임차료</t>
  </si>
  <si>
    <t>보험료</t>
  </si>
  <si>
    <t>영업외비용</t>
  </si>
  <si>
    <t>미지급비용</t>
  </si>
  <si>
    <t>당기순이익</t>
  </si>
  <si>
    <t>과목</t>
  </si>
  <si>
    <t>기금예치금이자수입</t>
  </si>
  <si>
    <t>운영비등이자수입</t>
  </si>
  <si>
    <t>기부금수입</t>
  </si>
  <si>
    <t>주차장관리수입</t>
  </si>
  <si>
    <t>수입수수료</t>
  </si>
  <si>
    <t>급여</t>
  </si>
  <si>
    <t>접대비</t>
  </si>
  <si>
    <t>통신비</t>
  </si>
  <si>
    <t>지급수수료</t>
  </si>
  <si>
    <t>영업외수익</t>
  </si>
  <si>
    <t>잡이익</t>
  </si>
  <si>
    <t>잡손실</t>
  </si>
  <si>
    <t>관리비수입</t>
  </si>
  <si>
    <t>Ⅹ.</t>
  </si>
  <si>
    <t>당좌자산</t>
  </si>
  <si>
    <t>(2)</t>
  </si>
  <si>
    <t>재고자산</t>
  </si>
  <si>
    <t>고유목적사업준비금</t>
  </si>
  <si>
    <t>회의운영비</t>
  </si>
  <si>
    <t>퇴직보험예치금</t>
  </si>
  <si>
    <t>투자자산</t>
  </si>
  <si>
    <t>유형자산</t>
  </si>
  <si>
    <t>임차보증금</t>
  </si>
  <si>
    <t xml:space="preserve">퇴직급여 </t>
  </si>
  <si>
    <t>자료구입비</t>
  </si>
  <si>
    <t>행사운영비</t>
  </si>
  <si>
    <t>퇴직급여충당금</t>
  </si>
  <si>
    <t>지원비(공모)</t>
  </si>
  <si>
    <t xml:space="preserve">지원비 </t>
  </si>
  <si>
    <t>과              목</t>
  </si>
  <si>
    <t>금액</t>
  </si>
  <si>
    <t>대관료수입</t>
  </si>
  <si>
    <t>도출연금수입</t>
  </si>
  <si>
    <t>금            액</t>
  </si>
  <si>
    <t>도출연금및보조금</t>
  </si>
  <si>
    <t>자본잉여금</t>
  </si>
  <si>
    <t>기부금</t>
  </si>
  <si>
    <t>비유동자산</t>
  </si>
  <si>
    <t>(3)</t>
  </si>
  <si>
    <t>무형자산</t>
  </si>
  <si>
    <t>(4)</t>
  </si>
  <si>
    <t>기타비유동자산</t>
  </si>
  <si>
    <t>비유동부채</t>
  </si>
  <si>
    <t>수입임대료</t>
  </si>
  <si>
    <t>퇴직급여</t>
  </si>
  <si>
    <t>문화상품판매수입</t>
  </si>
  <si>
    <t>입장료수입</t>
  </si>
  <si>
    <t>연구용역수입</t>
  </si>
  <si>
    <t>유물</t>
  </si>
  <si>
    <t>예술품</t>
  </si>
  <si>
    <t>시설장치</t>
  </si>
  <si>
    <t xml:space="preserve"> 고 유 목 적 사 업 명 세 서</t>
  </si>
  <si>
    <t>원재료비</t>
  </si>
  <si>
    <t>노무비</t>
  </si>
  <si>
    <t>경비</t>
  </si>
  <si>
    <t>물품구입비</t>
  </si>
  <si>
    <t>당기총제조비용</t>
  </si>
  <si>
    <t>기초재공품재고액</t>
  </si>
  <si>
    <t>기말재공품재고액</t>
  </si>
  <si>
    <t>타계정으로대체액</t>
  </si>
  <si>
    <t>당기제품제조원가</t>
  </si>
  <si>
    <t>잡급</t>
  </si>
  <si>
    <t>퇴직급여충당금전입액</t>
  </si>
  <si>
    <t>미처분이익잉여금</t>
  </si>
  <si>
    <t>금                액</t>
  </si>
  <si>
    <t>(단위:원)</t>
  </si>
  <si>
    <t>보상금</t>
  </si>
  <si>
    <t>인건비</t>
  </si>
  <si>
    <t>회 사 명 : 경기문화재단</t>
  </si>
  <si>
    <t>(단위 : 원)</t>
  </si>
  <si>
    <t>과    목</t>
  </si>
  <si>
    <t>금    액</t>
  </si>
  <si>
    <r>
      <rPr>
        <b/>
        <sz val="9"/>
        <rFont val="돋움"/>
        <family val="3"/>
      </rPr>
      <t>Ⅰ</t>
    </r>
    <r>
      <rPr>
        <b/>
        <sz val="9"/>
        <rFont val="Arial"/>
        <family val="2"/>
      </rPr>
      <t xml:space="preserve">. </t>
    </r>
    <r>
      <rPr>
        <b/>
        <sz val="9"/>
        <rFont val="돋움"/>
        <family val="3"/>
      </rPr>
      <t>원</t>
    </r>
    <r>
      <rPr>
        <b/>
        <sz val="9"/>
        <rFont val="Arial"/>
        <family val="2"/>
      </rPr>
      <t xml:space="preserve">         </t>
    </r>
    <r>
      <rPr>
        <b/>
        <sz val="9"/>
        <rFont val="돋움"/>
        <family val="3"/>
      </rPr>
      <t>재</t>
    </r>
    <r>
      <rPr>
        <b/>
        <sz val="9"/>
        <rFont val="Arial"/>
        <family val="2"/>
      </rPr>
      <t xml:space="preserve">         </t>
    </r>
    <r>
      <rPr>
        <b/>
        <sz val="9"/>
        <rFont val="돋움"/>
        <family val="3"/>
      </rPr>
      <t>료</t>
    </r>
    <r>
      <rPr>
        <b/>
        <sz val="9"/>
        <rFont val="Arial"/>
        <family val="2"/>
      </rPr>
      <t xml:space="preserve">         </t>
    </r>
    <r>
      <rPr>
        <b/>
        <sz val="9"/>
        <rFont val="돋움"/>
        <family val="3"/>
      </rPr>
      <t>비</t>
    </r>
  </si>
  <si>
    <r>
      <rPr>
        <b/>
        <sz val="9"/>
        <rFont val="돋움"/>
        <family val="3"/>
      </rPr>
      <t>Ⅱ</t>
    </r>
    <r>
      <rPr>
        <b/>
        <sz val="9"/>
        <rFont val="Arial"/>
        <family val="2"/>
      </rPr>
      <t xml:space="preserve">. </t>
    </r>
    <r>
      <rPr>
        <b/>
        <sz val="9"/>
        <rFont val="돋움"/>
        <family val="3"/>
      </rPr>
      <t>노</t>
    </r>
    <r>
      <rPr>
        <b/>
        <sz val="9"/>
        <rFont val="Arial"/>
        <family val="2"/>
      </rPr>
      <t xml:space="preserve">              </t>
    </r>
    <r>
      <rPr>
        <b/>
        <sz val="9"/>
        <rFont val="돋움"/>
        <family val="3"/>
      </rPr>
      <t>무</t>
    </r>
    <r>
      <rPr>
        <b/>
        <sz val="9"/>
        <rFont val="Arial"/>
        <family val="2"/>
      </rPr>
      <t xml:space="preserve">                 </t>
    </r>
    <r>
      <rPr>
        <b/>
        <sz val="9"/>
        <rFont val="돋움"/>
        <family val="3"/>
      </rPr>
      <t>비</t>
    </r>
  </si>
  <si>
    <r>
      <rPr>
        <b/>
        <sz val="9"/>
        <rFont val="돋움"/>
        <family val="3"/>
      </rPr>
      <t>Ⅲ</t>
    </r>
    <r>
      <rPr>
        <b/>
        <sz val="9"/>
        <rFont val="Arial"/>
        <family val="2"/>
      </rPr>
      <t xml:space="preserve">. </t>
    </r>
    <r>
      <rPr>
        <b/>
        <sz val="9"/>
        <rFont val="돋움"/>
        <family val="3"/>
      </rPr>
      <t>외</t>
    </r>
    <r>
      <rPr>
        <b/>
        <sz val="9"/>
        <rFont val="Arial"/>
        <family val="2"/>
      </rPr>
      <t xml:space="preserve">               </t>
    </r>
    <r>
      <rPr>
        <b/>
        <sz val="9"/>
        <rFont val="돋움"/>
        <family val="3"/>
      </rPr>
      <t>주</t>
    </r>
    <r>
      <rPr>
        <b/>
        <sz val="9"/>
        <rFont val="Arial"/>
        <family val="2"/>
      </rPr>
      <t xml:space="preserve">                </t>
    </r>
    <r>
      <rPr>
        <b/>
        <sz val="9"/>
        <rFont val="돋움"/>
        <family val="3"/>
      </rPr>
      <t>비</t>
    </r>
  </si>
  <si>
    <r>
      <rPr>
        <sz val="11"/>
        <rFont val="돋움"/>
        <family val="3"/>
      </rPr>
      <t>급</t>
    </r>
    <r>
      <rPr>
        <sz val="11"/>
        <rFont val="돋움"/>
        <family val="3"/>
      </rPr>
      <t>여</t>
    </r>
  </si>
  <si>
    <r>
      <rPr>
        <sz val="11"/>
        <rFont val="돋움"/>
        <family val="3"/>
      </rPr>
      <t>조</t>
    </r>
    <r>
      <rPr>
        <sz val="11"/>
        <rFont val="돋움"/>
        <family val="3"/>
      </rPr>
      <t>사</t>
    </r>
    <r>
      <rPr>
        <sz val="11"/>
        <rFont val="돋움"/>
        <family val="3"/>
      </rPr>
      <t>인</t>
    </r>
    <r>
      <rPr>
        <sz val="11"/>
        <rFont val="돋움"/>
        <family val="3"/>
      </rPr>
      <t>건</t>
    </r>
    <r>
      <rPr>
        <sz val="11"/>
        <rFont val="돋움"/>
        <family val="3"/>
      </rPr>
      <t>비</t>
    </r>
  </si>
  <si>
    <r>
      <rPr>
        <sz val="11"/>
        <rFont val="돋움"/>
        <family val="3"/>
      </rPr>
      <t>퇴</t>
    </r>
    <r>
      <rPr>
        <sz val="11"/>
        <rFont val="돋움"/>
        <family val="3"/>
      </rPr>
      <t>직</t>
    </r>
    <r>
      <rPr>
        <sz val="11"/>
        <rFont val="돋움"/>
        <family val="3"/>
      </rPr>
      <t>급</t>
    </r>
    <r>
      <rPr>
        <sz val="11"/>
        <rFont val="돋움"/>
        <family val="3"/>
      </rPr>
      <t>여</t>
    </r>
  </si>
  <si>
    <r>
      <rPr>
        <b/>
        <sz val="9"/>
        <rFont val="돋움"/>
        <family val="3"/>
      </rPr>
      <t>Ⅳ</t>
    </r>
    <r>
      <rPr>
        <b/>
        <sz val="9"/>
        <rFont val="Arial"/>
        <family val="2"/>
      </rPr>
      <t xml:space="preserve">. </t>
    </r>
    <r>
      <rPr>
        <b/>
        <sz val="9"/>
        <rFont val="돋움"/>
        <family val="3"/>
      </rPr>
      <t>경</t>
    </r>
    <r>
      <rPr>
        <b/>
        <sz val="9"/>
        <rFont val="Arial"/>
        <family val="2"/>
      </rPr>
      <t xml:space="preserve">                                   </t>
    </r>
    <r>
      <rPr>
        <b/>
        <sz val="9"/>
        <rFont val="돋움"/>
        <family val="3"/>
      </rPr>
      <t>비</t>
    </r>
  </si>
  <si>
    <t>세금과공과금</t>
  </si>
  <si>
    <r>
      <rPr>
        <sz val="11"/>
        <rFont val="돋움"/>
        <family val="3"/>
      </rPr>
      <t>부서</t>
    </r>
    <r>
      <rPr>
        <sz val="11"/>
        <rFont val="돋움"/>
        <family val="3"/>
      </rPr>
      <t>(</t>
    </r>
    <r>
      <rPr>
        <sz val="11"/>
        <rFont val="돋움"/>
        <family val="3"/>
      </rPr>
      <t>현장</t>
    </r>
    <r>
      <rPr>
        <sz val="11"/>
        <rFont val="돋움"/>
        <family val="3"/>
      </rPr>
      <t>)</t>
    </r>
    <r>
      <rPr>
        <sz val="11"/>
        <rFont val="돋움"/>
        <family val="3"/>
      </rPr>
      <t>운영비</t>
    </r>
  </si>
  <si>
    <t>외주가공비</t>
  </si>
  <si>
    <r>
      <rPr>
        <b/>
        <sz val="9"/>
        <rFont val="돋움"/>
        <family val="3"/>
      </rPr>
      <t>Ⅴ</t>
    </r>
    <r>
      <rPr>
        <b/>
        <sz val="9"/>
        <rFont val="Arial"/>
        <family val="2"/>
      </rPr>
      <t xml:space="preserve">. </t>
    </r>
    <r>
      <rPr>
        <b/>
        <sz val="9"/>
        <rFont val="돋움"/>
        <family val="3"/>
      </rPr>
      <t>당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</rPr>
      <t>기</t>
    </r>
    <r>
      <rPr>
        <b/>
        <sz val="9"/>
        <rFont val="Arial"/>
        <family val="2"/>
      </rPr>
      <t xml:space="preserve">  </t>
    </r>
    <r>
      <rPr>
        <b/>
        <sz val="9"/>
        <rFont val="돋움"/>
        <family val="3"/>
      </rPr>
      <t>총</t>
    </r>
    <r>
      <rPr>
        <b/>
        <sz val="9"/>
        <rFont val="Arial"/>
        <family val="2"/>
      </rPr>
      <t xml:space="preserve">   </t>
    </r>
    <r>
      <rPr>
        <b/>
        <sz val="9"/>
        <rFont val="돋움"/>
        <family val="3"/>
      </rPr>
      <t>공</t>
    </r>
    <r>
      <rPr>
        <b/>
        <sz val="9"/>
        <rFont val="Arial"/>
        <family val="2"/>
      </rPr>
      <t xml:space="preserve">   </t>
    </r>
    <r>
      <rPr>
        <b/>
        <sz val="9"/>
        <rFont val="돋움"/>
        <family val="3"/>
      </rPr>
      <t>사</t>
    </r>
    <r>
      <rPr>
        <b/>
        <sz val="9"/>
        <rFont val="Arial"/>
        <family val="2"/>
      </rPr>
      <t xml:space="preserve">   </t>
    </r>
    <r>
      <rPr>
        <b/>
        <sz val="9"/>
        <rFont val="돋움"/>
        <family val="3"/>
      </rPr>
      <t>비</t>
    </r>
    <r>
      <rPr>
        <b/>
        <sz val="9"/>
        <rFont val="Arial"/>
        <family val="2"/>
      </rPr>
      <t xml:space="preserve">   </t>
    </r>
    <r>
      <rPr>
        <b/>
        <sz val="9"/>
        <rFont val="돋움"/>
        <family val="3"/>
      </rPr>
      <t>용</t>
    </r>
  </si>
  <si>
    <r>
      <rPr>
        <b/>
        <sz val="9"/>
        <rFont val="돋움"/>
        <family val="3"/>
      </rPr>
      <t>Ⅵ</t>
    </r>
    <r>
      <rPr>
        <b/>
        <sz val="9"/>
        <rFont val="Arial"/>
        <family val="2"/>
      </rPr>
      <t xml:space="preserve">. </t>
    </r>
    <r>
      <rPr>
        <b/>
        <sz val="9"/>
        <rFont val="돋움"/>
        <family val="3"/>
      </rPr>
      <t>기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</rPr>
      <t>초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</rPr>
      <t>재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</rPr>
      <t>공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</rPr>
      <t>품</t>
    </r>
    <r>
      <rPr>
        <b/>
        <sz val="9"/>
        <rFont val="Arial"/>
        <family val="2"/>
      </rPr>
      <t xml:space="preserve">     </t>
    </r>
    <r>
      <rPr>
        <b/>
        <sz val="9"/>
        <rFont val="돋움"/>
        <family val="3"/>
      </rPr>
      <t>재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</rPr>
      <t>고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</rPr>
      <t>액</t>
    </r>
  </si>
  <si>
    <r>
      <rPr>
        <b/>
        <sz val="9"/>
        <rFont val="돋움"/>
        <family val="3"/>
      </rPr>
      <t>Ⅶ</t>
    </r>
    <r>
      <rPr>
        <b/>
        <sz val="9"/>
        <rFont val="Arial"/>
        <family val="2"/>
      </rPr>
      <t xml:space="preserve">. </t>
    </r>
    <r>
      <rPr>
        <b/>
        <sz val="9"/>
        <rFont val="돋움"/>
        <family val="3"/>
      </rPr>
      <t>타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</rPr>
      <t>계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</rPr>
      <t>정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</rPr>
      <t>에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</rPr>
      <t>서</t>
    </r>
    <r>
      <rPr>
        <b/>
        <sz val="9"/>
        <rFont val="Arial"/>
        <family val="2"/>
      </rPr>
      <t xml:space="preserve">     </t>
    </r>
    <r>
      <rPr>
        <b/>
        <sz val="9"/>
        <rFont val="돋움"/>
        <family val="3"/>
      </rPr>
      <t>대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</rPr>
      <t>체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</rPr>
      <t>액</t>
    </r>
  </si>
  <si>
    <r>
      <rPr>
        <b/>
        <sz val="9"/>
        <rFont val="돋움"/>
        <family val="3"/>
      </rPr>
      <t>Ⅷ</t>
    </r>
    <r>
      <rPr>
        <b/>
        <sz val="9"/>
        <rFont val="Arial"/>
        <family val="2"/>
      </rPr>
      <t xml:space="preserve">. </t>
    </r>
    <r>
      <rPr>
        <b/>
        <sz val="9"/>
        <rFont val="돋움"/>
        <family val="3"/>
      </rPr>
      <t>합</t>
    </r>
    <r>
      <rPr>
        <b/>
        <sz val="9"/>
        <rFont val="Arial"/>
        <family val="2"/>
      </rPr>
      <t xml:space="preserve">                                     </t>
    </r>
    <r>
      <rPr>
        <b/>
        <sz val="9"/>
        <rFont val="돋움"/>
        <family val="3"/>
      </rPr>
      <t>계</t>
    </r>
  </si>
  <si>
    <r>
      <rPr>
        <b/>
        <sz val="9"/>
        <rFont val="돋움"/>
        <family val="3"/>
      </rPr>
      <t>Ⅹ</t>
    </r>
    <r>
      <rPr>
        <b/>
        <sz val="9"/>
        <rFont val="Arial"/>
        <family val="2"/>
      </rPr>
      <t>.</t>
    </r>
    <r>
      <rPr>
        <b/>
        <sz val="9"/>
        <rFont val="돋움"/>
        <family val="3"/>
      </rPr>
      <t>타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</rPr>
      <t>계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</rPr>
      <t>정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</rPr>
      <t>으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</rPr>
      <t>로</t>
    </r>
    <r>
      <rPr>
        <b/>
        <sz val="9"/>
        <rFont val="Arial"/>
        <family val="2"/>
      </rPr>
      <t xml:space="preserve">      </t>
    </r>
    <r>
      <rPr>
        <b/>
        <sz val="9"/>
        <rFont val="돋움"/>
        <family val="3"/>
      </rPr>
      <t>대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</rPr>
      <t>체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</rPr>
      <t>액</t>
    </r>
  </si>
  <si>
    <r>
      <rPr>
        <b/>
        <sz val="9"/>
        <rFont val="돋움"/>
        <family val="3"/>
      </rPr>
      <t>ⅩⅠ</t>
    </r>
    <r>
      <rPr>
        <b/>
        <sz val="9"/>
        <rFont val="Arial"/>
        <family val="2"/>
      </rPr>
      <t>.</t>
    </r>
    <r>
      <rPr>
        <b/>
        <sz val="9"/>
        <rFont val="돋움"/>
        <family val="3"/>
      </rPr>
      <t>당</t>
    </r>
    <r>
      <rPr>
        <b/>
        <sz val="9"/>
        <rFont val="Arial"/>
        <family val="2"/>
      </rPr>
      <t xml:space="preserve">   </t>
    </r>
    <r>
      <rPr>
        <b/>
        <sz val="9"/>
        <rFont val="돋움"/>
        <family val="3"/>
      </rPr>
      <t>기</t>
    </r>
    <r>
      <rPr>
        <b/>
        <sz val="9"/>
        <rFont val="Arial"/>
        <family val="2"/>
      </rPr>
      <t xml:space="preserve">   </t>
    </r>
    <r>
      <rPr>
        <b/>
        <sz val="9"/>
        <rFont val="돋움"/>
        <family val="3"/>
      </rPr>
      <t>공</t>
    </r>
    <r>
      <rPr>
        <b/>
        <sz val="9"/>
        <rFont val="Arial"/>
        <family val="2"/>
      </rPr>
      <t xml:space="preserve">    </t>
    </r>
    <r>
      <rPr>
        <b/>
        <sz val="9"/>
        <rFont val="돋움"/>
        <family val="3"/>
      </rPr>
      <t>사</t>
    </r>
    <r>
      <rPr>
        <b/>
        <sz val="9"/>
        <rFont val="Arial"/>
        <family val="2"/>
      </rPr>
      <t xml:space="preserve">   </t>
    </r>
    <r>
      <rPr>
        <b/>
        <sz val="9"/>
        <rFont val="돋움"/>
        <family val="3"/>
      </rPr>
      <t>원</t>
    </r>
    <r>
      <rPr>
        <b/>
        <sz val="9"/>
        <rFont val="Arial"/>
        <family val="2"/>
      </rPr>
      <t xml:space="preserve">   </t>
    </r>
    <r>
      <rPr>
        <b/>
        <sz val="9"/>
        <rFont val="돋움"/>
        <family val="3"/>
      </rPr>
      <t>가</t>
    </r>
  </si>
  <si>
    <t>선급금</t>
  </si>
  <si>
    <t>선수금</t>
  </si>
  <si>
    <t>이익잉여금</t>
  </si>
  <si>
    <t>편의시설운영수입</t>
  </si>
  <si>
    <t>현금및현금성자산</t>
  </si>
  <si>
    <t>단기금융상품</t>
  </si>
  <si>
    <t>용역미수금</t>
  </si>
  <si>
    <t>선급법인세</t>
  </si>
  <si>
    <t>미완성용역</t>
  </si>
  <si>
    <t>용역선수금</t>
  </si>
  <si>
    <t>사업원가</t>
  </si>
  <si>
    <t>사업이익</t>
  </si>
  <si>
    <t>영업이익</t>
  </si>
  <si>
    <t>경상이익</t>
  </si>
  <si>
    <t>전신전화가입권</t>
  </si>
  <si>
    <t>연구원사업수입</t>
  </si>
  <si>
    <t>상품구입비</t>
  </si>
  <si>
    <t>전출금</t>
  </si>
  <si>
    <t>기타수입</t>
  </si>
  <si>
    <t>선급비용</t>
  </si>
  <si>
    <t>상품</t>
  </si>
  <si>
    <t>공사손실충당금전입액</t>
  </si>
  <si>
    <t>공사손실충당부채</t>
  </si>
  <si>
    <t>연구원사업원가</t>
  </si>
  <si>
    <t>연 구 원 원 가 명 세서</t>
  </si>
  <si>
    <t>장기금융상품</t>
  </si>
  <si>
    <t>매도가능증권</t>
  </si>
  <si>
    <t>선수수익</t>
  </si>
  <si>
    <t>기타포괄손익누계액</t>
  </si>
  <si>
    <t>매도가능증권평가이익</t>
  </si>
  <si>
    <t>공사손실충당금환입</t>
  </si>
  <si>
    <t>교육수입</t>
  </si>
  <si>
    <t>선급주민세</t>
  </si>
  <si>
    <t>부가세예수금</t>
  </si>
  <si>
    <t xml:space="preserve"> </t>
  </si>
  <si>
    <r>
      <t>(</t>
    </r>
    <r>
      <rPr>
        <sz val="10"/>
        <rFont val="궁서체"/>
        <family val="1"/>
      </rPr>
      <t>단위</t>
    </r>
    <r>
      <rPr>
        <sz val="10"/>
        <rFont val="Arial Narrow"/>
        <family val="2"/>
      </rPr>
      <t>:</t>
    </r>
    <r>
      <rPr>
        <sz val="10"/>
        <rFont val="궁서체"/>
        <family val="1"/>
      </rPr>
      <t>원</t>
    </r>
    <r>
      <rPr>
        <sz val="10"/>
        <rFont val="Arial Narrow"/>
        <family val="2"/>
      </rPr>
      <t>)</t>
    </r>
  </si>
  <si>
    <t>기초</t>
  </si>
  <si>
    <t>재단</t>
  </si>
  <si>
    <t>도위탁</t>
  </si>
  <si>
    <t>연구원</t>
  </si>
  <si>
    <t>박물관</t>
  </si>
  <si>
    <t>미술관</t>
  </si>
  <si>
    <t>창작센터</t>
  </si>
  <si>
    <t>백남준</t>
  </si>
  <si>
    <t>경기도자</t>
  </si>
  <si>
    <t>남한산성</t>
  </si>
  <si>
    <t>실학박물관</t>
  </si>
  <si>
    <t>경기도어린이박물관</t>
  </si>
  <si>
    <t>전곡선사박물관</t>
  </si>
  <si>
    <t>계</t>
  </si>
  <si>
    <t>유동자산</t>
  </si>
  <si>
    <t xml:space="preserve">현금 </t>
  </si>
  <si>
    <t>예금</t>
  </si>
  <si>
    <t>위탁판매미수금</t>
  </si>
  <si>
    <t>입장료미수금</t>
  </si>
  <si>
    <t>카페미수금</t>
  </si>
  <si>
    <t>본·지점</t>
  </si>
  <si>
    <t>퇴직충당예치금</t>
  </si>
  <si>
    <t>전화가입권</t>
  </si>
  <si>
    <t>기문원</t>
  </si>
  <si>
    <t>유동부채</t>
  </si>
  <si>
    <t>위탁판매예수금</t>
  </si>
  <si>
    <t>자본금</t>
  </si>
  <si>
    <t>기본재산</t>
  </si>
  <si>
    <t>도비보조금</t>
  </si>
  <si>
    <t>기부금(도위탁사용분)</t>
  </si>
  <si>
    <t>기타자본잉여금</t>
  </si>
  <si>
    <t>자본조정</t>
  </si>
  <si>
    <t>전기이월</t>
  </si>
  <si>
    <r>
      <rPr>
        <b/>
        <sz val="9"/>
        <color indexed="10"/>
        <rFont val="돋움"/>
        <family val="3"/>
      </rPr>
      <t>Ⅸ</t>
    </r>
    <r>
      <rPr>
        <b/>
        <sz val="9"/>
        <color indexed="10"/>
        <rFont val="Arial"/>
        <family val="2"/>
      </rPr>
      <t>.</t>
    </r>
    <r>
      <rPr>
        <b/>
        <sz val="9"/>
        <color indexed="10"/>
        <rFont val="돋움"/>
        <family val="3"/>
      </rPr>
      <t>기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10"/>
        <rFont val="돋움"/>
        <family val="3"/>
      </rPr>
      <t>말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10"/>
        <rFont val="돋움"/>
        <family val="3"/>
      </rPr>
      <t>재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10"/>
        <rFont val="돋움"/>
        <family val="3"/>
      </rPr>
      <t>공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10"/>
        <rFont val="돋움"/>
        <family val="3"/>
      </rPr>
      <t>품</t>
    </r>
    <r>
      <rPr>
        <b/>
        <sz val="9"/>
        <color indexed="10"/>
        <rFont val="Arial"/>
        <family val="2"/>
      </rPr>
      <t xml:space="preserve">      </t>
    </r>
    <r>
      <rPr>
        <b/>
        <sz val="9"/>
        <color indexed="10"/>
        <rFont val="돋움"/>
        <family val="3"/>
      </rPr>
      <t>재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10"/>
        <rFont val="돋움"/>
        <family val="3"/>
      </rPr>
      <t>고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10"/>
        <rFont val="돋움"/>
        <family val="3"/>
      </rPr>
      <t>액</t>
    </r>
  </si>
  <si>
    <t>합    계</t>
  </si>
  <si>
    <t>경기문화재연구원</t>
  </si>
  <si>
    <t>경기도박물관</t>
  </si>
  <si>
    <t>경기도미술관</t>
  </si>
  <si>
    <t>경기창작센터</t>
  </si>
  <si>
    <t>백남준아트센터</t>
  </si>
  <si>
    <t>경기도자박물관</t>
  </si>
  <si>
    <t>남한산성세계유산</t>
  </si>
  <si>
    <t>지원비(조건부기부금)</t>
  </si>
  <si>
    <t>손익계산서상원가</t>
  </si>
  <si>
    <t>손익 - 고유원가</t>
  </si>
  <si>
    <t>운영자금등이자수입</t>
  </si>
  <si>
    <t>임대료수입</t>
  </si>
  <si>
    <t>기타잡수입</t>
  </si>
  <si>
    <t>사업비용</t>
  </si>
  <si>
    <t>기문원사업원가</t>
  </si>
  <si>
    <t>사업순이익</t>
  </si>
  <si>
    <t>반납이자</t>
  </si>
  <si>
    <t>반납비</t>
  </si>
  <si>
    <t>영업이익(손실)</t>
  </si>
  <si>
    <t>배당금수익</t>
  </si>
  <si>
    <t>유가증권처분익</t>
  </si>
  <si>
    <t>공사손실충당금환입액</t>
  </si>
  <si>
    <t>경상이익(손실)</t>
  </si>
  <si>
    <t>Ⅹ.</t>
  </si>
  <si>
    <t>법인세차감전이익(손실)</t>
  </si>
  <si>
    <t>법인세등</t>
  </si>
  <si>
    <t>당기순이익(손실)</t>
  </si>
  <si>
    <t>(당기순이익)</t>
  </si>
  <si>
    <t>계</t>
  </si>
  <si>
    <t>유형자산처분손실</t>
  </si>
  <si>
    <t>재     무     상     태     표</t>
  </si>
  <si>
    <t>제 21 기 2017년 1월 1일부터   2017년  12월 31일 까지</t>
  </si>
  <si>
    <t>제 21기 2017년 1월  1일부터      2017년   12월 31일까지</t>
  </si>
  <si>
    <t>제 21 기  2017년   12월  31일  현재</t>
  </si>
  <si>
    <t>제22(당)기</t>
  </si>
  <si>
    <t>제21(전)기</t>
  </si>
  <si>
    <r>
      <rPr>
        <b/>
        <sz val="9"/>
        <rFont val="돋움"/>
        <family val="3"/>
      </rPr>
      <t>제</t>
    </r>
    <r>
      <rPr>
        <b/>
        <sz val="9"/>
        <rFont val="Arial"/>
        <family val="2"/>
      </rPr>
      <t xml:space="preserve"> 22 (</t>
    </r>
    <r>
      <rPr>
        <b/>
        <sz val="9"/>
        <rFont val="돋움"/>
        <family val="3"/>
      </rPr>
      <t>당</t>
    </r>
    <r>
      <rPr>
        <b/>
        <sz val="9"/>
        <rFont val="Arial"/>
        <family val="2"/>
      </rPr>
      <t>)</t>
    </r>
    <r>
      <rPr>
        <b/>
        <sz val="9"/>
        <rFont val="돋움"/>
        <family val="3"/>
      </rPr>
      <t>기</t>
    </r>
  </si>
  <si>
    <r>
      <rPr>
        <b/>
        <sz val="9"/>
        <rFont val="돋움"/>
        <family val="3"/>
      </rPr>
      <t>제</t>
    </r>
    <r>
      <rPr>
        <b/>
        <sz val="9"/>
        <rFont val="Arial"/>
        <family val="2"/>
      </rPr>
      <t xml:space="preserve"> 21 (</t>
    </r>
    <r>
      <rPr>
        <b/>
        <sz val="9"/>
        <rFont val="돋움"/>
        <family val="3"/>
      </rPr>
      <t>전</t>
    </r>
    <r>
      <rPr>
        <b/>
        <sz val="9"/>
        <rFont val="Arial"/>
        <family val="2"/>
      </rPr>
      <t>)</t>
    </r>
    <r>
      <rPr>
        <b/>
        <sz val="9"/>
        <rFont val="돋움"/>
        <family val="3"/>
      </rPr>
      <t>기</t>
    </r>
  </si>
  <si>
    <t>제    22    (당)    기</t>
  </si>
  <si>
    <t>제    21    (전)    기</t>
  </si>
  <si>
    <t>제  22  (당)  기</t>
  </si>
  <si>
    <t>제  21  (전)  기</t>
  </si>
  <si>
    <t>합계잔액시산표</t>
  </si>
  <si>
    <t>경기문화재단</t>
  </si>
  <si>
    <t>차    변</t>
  </si>
  <si>
    <t>계 정 과 목</t>
  </si>
  <si>
    <t>대   변</t>
  </si>
  <si>
    <t>잔    액</t>
  </si>
  <si>
    <t>합    계</t>
  </si>
  <si>
    <t>&lt;&lt; 자          산 &gt;&gt;</t>
  </si>
  <si>
    <t>[ 유  동    자  산 ]</t>
  </si>
  <si>
    <t>&lt; 당  좌    자  산 &gt;</t>
  </si>
  <si>
    <t>현  금  과  예  금</t>
  </si>
  <si>
    <t>제      예      금</t>
  </si>
  <si>
    <t>정   기  예. 적 금</t>
  </si>
  <si>
    <t>용  역  미  수  금</t>
  </si>
  <si>
    <t>미   수    수   익</t>
  </si>
  <si>
    <t>미      수      금</t>
  </si>
  <si>
    <t>선      급      금</t>
  </si>
  <si>
    <t>선   급     비  용</t>
  </si>
  <si>
    <t>부 가 세 대  급 금</t>
  </si>
  <si>
    <t>선  급  법  인  세</t>
  </si>
  <si>
    <t>선  급  주  민  세</t>
  </si>
  <si>
    <t>&lt; 재  고    자  산 &gt;</t>
  </si>
  <si>
    <t>저      장      품</t>
  </si>
  <si>
    <t>미  완  성  용  역</t>
  </si>
  <si>
    <t>[ 비  유 동  자 산 ]</t>
  </si>
  <si>
    <t>&lt; 투  자    자  산 &gt;</t>
  </si>
  <si>
    <t>기  금  예  치  금</t>
  </si>
  <si>
    <t>퇴 직 충 당 예치금</t>
  </si>
  <si>
    <t>장 기 금 융 상 품</t>
  </si>
  <si>
    <t>국민 연금 전 환 금</t>
  </si>
  <si>
    <t>매 도 가 능  증 권</t>
  </si>
  <si>
    <t>&lt; 유  형    자  산 &gt;</t>
  </si>
  <si>
    <t>토              지</t>
  </si>
  <si>
    <t>건              물</t>
  </si>
  <si>
    <t>감가 상각 누 계 액</t>
  </si>
  <si>
    <t>기   계    장   치</t>
  </si>
  <si>
    <t>차  량  운  반  구</t>
  </si>
  <si>
    <t>공  구  와  기  구</t>
  </si>
  <si>
    <t>집   기   비    품</t>
  </si>
  <si>
    <t>기 타 유  형 자 산</t>
  </si>
  <si>
    <t>예      술      품</t>
  </si>
  <si>
    <t>유              물</t>
  </si>
  <si>
    <t>시   설    장   치</t>
  </si>
  <si>
    <t>감 가 상 각 누계액</t>
  </si>
  <si>
    <t>&lt; 기타 비 유동자산 &gt;</t>
  </si>
  <si>
    <t>임  차    보 증 금</t>
  </si>
  <si>
    <t>기  타  보  증  금</t>
  </si>
  <si>
    <t>전신 전화 가 입 권</t>
  </si>
  <si>
    <t>&lt;&lt; 부          채 &gt;&gt;</t>
  </si>
  <si>
    <t>&lt; 유  동    부  채 &gt;</t>
  </si>
  <si>
    <t>미   지    급   금</t>
  </si>
  <si>
    <t>예      수      금</t>
  </si>
  <si>
    <t>부 가 세 예  수 금</t>
  </si>
  <si>
    <t>예  수  보  증  금</t>
  </si>
  <si>
    <t>선      수      금</t>
  </si>
  <si>
    <t>미  지  급  비  용</t>
  </si>
  <si>
    <t>선   수    수   익</t>
  </si>
  <si>
    <t>공 사 손 실 충당금</t>
  </si>
  <si>
    <t>용  역  선  수  금</t>
  </si>
  <si>
    <t>도 위 탁  예 수 금</t>
  </si>
  <si>
    <t>&lt; 비  유 동  부 채 &gt;</t>
  </si>
  <si>
    <t>임  대  보  증  금</t>
  </si>
  <si>
    <t>퇴직 급여 충 당 금</t>
  </si>
  <si>
    <t>&lt;&lt; 자          본 &gt;&gt;</t>
  </si>
  <si>
    <t>&lt; 자     본     금 &gt;</t>
  </si>
  <si>
    <t>자     본       금</t>
  </si>
  <si>
    <t>기              금</t>
  </si>
  <si>
    <t>&lt; 자  본  잉 여 금 &gt;</t>
  </si>
  <si>
    <t>기부금(도위탁사용분)</t>
  </si>
  <si>
    <t>기타 자본 잉 여 금</t>
  </si>
  <si>
    <t>&lt; 기타포괄손익누계액 &gt;</t>
  </si>
  <si>
    <t>매도가능증권평가익</t>
  </si>
  <si>
    <t>&lt; 이  익  잉 여 금 &gt;</t>
  </si>
  <si>
    <t>고유목적사업준비금</t>
  </si>
  <si>
    <t>&lt;&lt; 손          익 &gt;&gt;</t>
  </si>
  <si>
    <t>&lt; 매     출     액 &gt;</t>
  </si>
  <si>
    <t>이자수입</t>
  </si>
  <si>
    <t>&lt; 매  출    원  가 &gt;</t>
  </si>
  <si>
    <t>연구원 사업 원가</t>
  </si>
  <si>
    <t>고유목적 사업원가</t>
  </si>
  <si>
    <t>임대사업원가</t>
  </si>
  <si>
    <t>&lt; 연구원사업원가 &gt;</t>
  </si>
  <si>
    <t>급              여</t>
  </si>
  <si>
    <t>조  사  인  건  비</t>
  </si>
  <si>
    <t>퇴   직    급   여</t>
  </si>
  <si>
    <t>복  리  후  생  비</t>
  </si>
  <si>
    <t>여  비  교  통  비</t>
  </si>
  <si>
    <t>접      대      비</t>
  </si>
  <si>
    <t>통      신      비</t>
  </si>
  <si>
    <t>수  도  광  열  비</t>
  </si>
  <si>
    <t>세 금 과  공 과 금</t>
  </si>
  <si>
    <t>감  가  상  각  비</t>
  </si>
  <si>
    <t>지  급  임  차  료</t>
  </si>
  <si>
    <t>지  급  용  역  료</t>
  </si>
  <si>
    <t>보      험      료</t>
  </si>
  <si>
    <t>교  육  훈  련  비</t>
  </si>
  <si>
    <t>도  서  인  쇄  비</t>
  </si>
  <si>
    <t>자  료  구  입  비</t>
  </si>
  <si>
    <t>소   모   품    비</t>
  </si>
  <si>
    <t>지  급  수  수  료</t>
  </si>
  <si>
    <t>외  주  가  공  비</t>
  </si>
  <si>
    <t>업  무  추  진  비</t>
  </si>
  <si>
    <t>유  지  관  리  비</t>
  </si>
  <si>
    <t>행  사  운  영  비</t>
  </si>
  <si>
    <t>회  의  운  영  비</t>
  </si>
  <si>
    <t>&lt; 고유목적사업원가 &gt;</t>
  </si>
  <si>
    <t>원    재   료   비</t>
  </si>
  <si>
    <t>잡              급</t>
  </si>
  <si>
    <t>세 금  과 공 과 금</t>
  </si>
  <si>
    <t>지 급  임   차  료</t>
  </si>
  <si>
    <t>교 육  훈  련   비</t>
  </si>
  <si>
    <t>도 서  인  쇄   비</t>
  </si>
  <si>
    <t>소   모    품   비</t>
  </si>
  <si>
    <t>지 급  수  수   료</t>
  </si>
  <si>
    <t>광 고  선  전   비</t>
  </si>
  <si>
    <t>지      원      비</t>
  </si>
  <si>
    <t>행  사  운  영  비</t>
  </si>
  <si>
    <t>물  품  구  입  비</t>
  </si>
  <si>
    <t>인      건      비</t>
  </si>
  <si>
    <t>상  품  구  입  비</t>
  </si>
  <si>
    <t>&lt; 임  대    원  가 &gt;</t>
  </si>
  <si>
    <t>&lt; 판 매   관 리 비 &gt;</t>
  </si>
  <si>
    <t>소    모   품   비</t>
  </si>
  <si>
    <t>광  고  선  전  비</t>
  </si>
  <si>
    <t>반    납   이   자</t>
  </si>
  <si>
    <t>&lt; 영 업  외  수 익 &gt;</t>
  </si>
  <si>
    <t>이    자   수   익</t>
  </si>
  <si>
    <t>잡      이      익</t>
  </si>
  <si>
    <t>&lt; 영 업  외  비 용 &gt;</t>
  </si>
  <si>
    <t>기      부      금</t>
  </si>
  <si>
    <t>유형자산 처분 손실</t>
  </si>
  <si>
    <t>잡      손      실</t>
  </si>
  <si>
    <t>합      계</t>
  </si>
  <si>
    <t>미처분이익잉여금</t>
  </si>
  <si>
    <t>전기 :    2,520,594,369원</t>
  </si>
  <si>
    <t>제 22 기  2018년   12월  31일  현재</t>
  </si>
  <si>
    <r>
      <t>제</t>
    </r>
    <r>
      <rPr>
        <sz val="10"/>
        <rFont val="Arial Narrow"/>
        <family val="2"/>
      </rPr>
      <t>22</t>
    </r>
    <r>
      <rPr>
        <sz val="11"/>
        <rFont val="돋움"/>
        <family val="3"/>
      </rPr>
      <t>기</t>
    </r>
    <r>
      <rPr>
        <sz val="11"/>
        <rFont val="Arial Narrow"/>
        <family val="2"/>
      </rPr>
      <t xml:space="preserve">  2018</t>
    </r>
    <r>
      <rPr>
        <sz val="11"/>
        <rFont val="돋움"/>
        <family val="3"/>
      </rPr>
      <t>년</t>
    </r>
    <r>
      <rPr>
        <sz val="11"/>
        <rFont val="Arial Narrow"/>
        <family val="2"/>
      </rPr>
      <t xml:space="preserve">   12</t>
    </r>
    <r>
      <rPr>
        <sz val="11"/>
        <rFont val="돋움"/>
        <family val="3"/>
      </rPr>
      <t>월</t>
    </r>
    <r>
      <rPr>
        <sz val="11"/>
        <rFont val="Arial Narrow"/>
        <family val="2"/>
      </rPr>
      <t xml:space="preserve">  31</t>
    </r>
    <r>
      <rPr>
        <sz val="11"/>
        <rFont val="돋움"/>
        <family val="3"/>
      </rPr>
      <t>일</t>
    </r>
    <r>
      <rPr>
        <sz val="11"/>
        <rFont val="Arial Narrow"/>
        <family val="2"/>
      </rPr>
      <t xml:space="preserve">  </t>
    </r>
    <r>
      <rPr>
        <sz val="11"/>
        <rFont val="돋움"/>
        <family val="3"/>
      </rPr>
      <t>현재</t>
    </r>
  </si>
  <si>
    <t>제 22 기 2018년 1월 1일부터   2018년  12월 31일 까지</t>
  </si>
  <si>
    <t>제22기 2018년 1월 1일부터 2018년  12월 31일 까지</t>
  </si>
  <si>
    <t>제 22기 2018년 1월  1일부터      2018년   12월 31일까지</t>
  </si>
  <si>
    <t>2018년 12월 31일 현재</t>
  </si>
  <si>
    <t>결손금처리계산서</t>
  </si>
  <si>
    <t>과                         목</t>
  </si>
  <si>
    <t>금                 액</t>
  </si>
  <si>
    <t>Ⅰ.</t>
  </si>
  <si>
    <t>미처리결손금</t>
  </si>
  <si>
    <t>1.</t>
  </si>
  <si>
    <t>전기이월미처분결손금</t>
  </si>
  <si>
    <t>2.</t>
  </si>
  <si>
    <t>당기순손실(이익)</t>
  </si>
  <si>
    <t>Ⅱ.</t>
  </si>
  <si>
    <t>임의적립금등의이입액</t>
  </si>
  <si>
    <t>1.</t>
  </si>
  <si>
    <t>고유목적사업준비금환입액</t>
  </si>
  <si>
    <t>이익잉여금처분액</t>
  </si>
  <si>
    <t>고유목적사업준비금전입액</t>
  </si>
  <si>
    <t>2.</t>
  </si>
  <si>
    <t>기금적립금</t>
  </si>
  <si>
    <t>차기이월미처리결손금
(Ⅰ+Ⅱ-Ⅲ)</t>
  </si>
  <si>
    <t>제22기 2018년 1월 1일부터 2018년 12월 31일 까지    처분예정일 2019년 2월 28일</t>
  </si>
  <si>
    <t>제21기 2017년 1월 1일부터 2017년 12월 31일 까지    처분예정일 2017년 2월 28일</t>
  </si>
  <si>
    <t>관서업무비</t>
  </si>
  <si>
    <t>단  기  대  여  금</t>
  </si>
  <si>
    <t>관 서 (현장)업무비</t>
  </si>
  <si>
    <t>관 서  업  무   비</t>
  </si>
  <si>
    <t>자  료  구  입  비</t>
  </si>
  <si>
    <t>관  서  업  무  비</t>
  </si>
  <si>
    <t>반      납      비</t>
  </si>
  <si>
    <t xml:space="preserve">당기 :   -1,043,454,407원   </t>
  </si>
  <si>
    <t>기금예치금</t>
  </si>
</sst>
</file>

<file path=xl/styles.xml><?xml version="1.0" encoding="utf-8"?>
<styleSheet xmlns="http://schemas.openxmlformats.org/spreadsheetml/2006/main">
  <numFmts count="4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#,##0_);[Red]\(#,##0\)"/>
    <numFmt numFmtId="179" formatCode="#,##0;[Red]\ &quot;△&quot;#,##0"/>
    <numFmt numFmtId="180" formatCode="_-* #,##0_-;\-* #,##0_-;_-* &quot;-&quot;?_-;_-@_-"/>
    <numFmt numFmtId="181" formatCode="&quot;차이&quot;#,##0;&quot;차이△&quot;#,##0;&quot; &quot;"/>
    <numFmt numFmtId="182" formatCode="#,##0_ ;\(#,##0\)\ ;\-\ \ \ "/>
    <numFmt numFmtId="183" formatCode="_ * #,##0_ ;_ * \-#,##0_ ;_ * &quot;-&quot;_ ;_ @_ "/>
    <numFmt numFmtId="184" formatCode="#,##0&quot;.&quot;"/>
    <numFmt numFmtId="185" formatCode="#,##0\ ;\-#,##0\ ;&quot;-&quot;\ \ "/>
    <numFmt numFmtId="186" formatCode="&quot;당기 :    &quot;#,##0_ ;&quot;당기 : &quot;&quot;△&quot;#,##0\ "/>
    <numFmt numFmtId="187" formatCode="&quot;전기 :    &quot;#,##0_ ;&quot;전기 : &quot;&quot;△&quot;#,##0\ "/>
    <numFmt numFmtId="188" formatCode="&quot;차이&quot;#,##0\ ;&quot;△&quot;#,##0;"/>
    <numFmt numFmtId="189" formatCode="_-* #,##0.0_-;\-* #,##0.0_-;_-* &quot;-&quot;?_-;_-@_-"/>
    <numFmt numFmtId="190" formatCode="#,##0.0_ "/>
    <numFmt numFmtId="191" formatCode="#,##0.00_ "/>
    <numFmt numFmtId="192" formatCode="#,##0.000_ "/>
    <numFmt numFmtId="193" formatCode="#."/>
    <numFmt numFmtId="194" formatCode="0_);\(0\)"/>
    <numFmt numFmtId="195" formatCode="\(#,##0\)\ \ "/>
    <numFmt numFmtId="196" formatCode="0_);[Red]\(0\)"/>
    <numFmt numFmtId="197" formatCode="&quot;당기 :    &quot;#,##0\ &quot;원&quot;\ ;&quot;당기 : &quot;&quot;△&quot;#,##0\ &quot;원&quot;\ "/>
    <numFmt numFmtId="198" formatCode="&quot;전기 :    &quot;#,##0\ &quot;원&quot;;&quot;전기 : &quot;&quot;△&quot;#,##0\ &quot;원&quot;\ "/>
    <numFmt numFmtId="199" formatCode="0_ "/>
    <numFmt numFmtId="200" formatCode="#,##0."/>
    <numFmt numFmtId="201" formatCode="0.0%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##,###"/>
  </numFmts>
  <fonts count="99">
    <font>
      <sz val="11"/>
      <name val="돋움"/>
      <family val="3"/>
    </font>
    <font>
      <b/>
      <sz val="11"/>
      <name val="돋움"/>
      <family val="3"/>
    </font>
    <font>
      <i/>
      <sz val="11"/>
      <name val="돋움"/>
      <family val="3"/>
    </font>
    <font>
      <b/>
      <i/>
      <sz val="11"/>
      <name val="돋움"/>
      <family val="3"/>
    </font>
    <font>
      <sz val="11"/>
      <name val="바탕체"/>
      <family val="1"/>
    </font>
    <font>
      <sz val="8"/>
      <name val="돋움"/>
      <family val="3"/>
    </font>
    <font>
      <sz val="10"/>
      <name val="돋움"/>
      <family val="3"/>
    </font>
    <font>
      <sz val="10"/>
      <name val="바탕체"/>
      <family val="1"/>
    </font>
    <font>
      <b/>
      <u val="double"/>
      <sz val="18"/>
      <name val="궁서체"/>
      <family val="1"/>
    </font>
    <font>
      <u val="single"/>
      <sz val="10"/>
      <name val="궁서체"/>
      <family val="1"/>
    </font>
    <font>
      <sz val="10"/>
      <name val="궁서체"/>
      <family val="1"/>
    </font>
    <font>
      <sz val="11"/>
      <name val="궁서체"/>
      <family val="1"/>
    </font>
    <font>
      <sz val="10"/>
      <name val="휴먼명조"/>
      <family val="0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9"/>
      <name val="돋움"/>
      <family val="3"/>
    </font>
    <font>
      <sz val="10"/>
      <name val="굴림"/>
      <family val="3"/>
    </font>
    <font>
      <sz val="11"/>
      <name val="굴림"/>
      <family val="3"/>
    </font>
    <font>
      <b/>
      <sz val="10"/>
      <name val="Arial Narrow"/>
      <family val="2"/>
    </font>
    <font>
      <sz val="11"/>
      <name val="Arial Narrow"/>
      <family val="2"/>
    </font>
    <font>
      <u val="single"/>
      <sz val="11"/>
      <name val="궁서체"/>
      <family val="1"/>
    </font>
    <font>
      <b/>
      <sz val="10"/>
      <name val="바탕체"/>
      <family val="1"/>
    </font>
    <font>
      <b/>
      <sz val="11"/>
      <name val="Arial Narrow"/>
      <family val="2"/>
    </font>
    <font>
      <b/>
      <sz val="11"/>
      <name val="바탕체"/>
      <family val="1"/>
    </font>
    <font>
      <sz val="10"/>
      <name val="Arial Narrow"/>
      <family val="2"/>
    </font>
    <font>
      <sz val="8"/>
      <name val="바탕체"/>
      <family val="1"/>
    </font>
    <font>
      <sz val="9"/>
      <name val="Arial"/>
      <family val="2"/>
    </font>
    <font>
      <b/>
      <sz val="9"/>
      <name val="Arial"/>
      <family val="2"/>
    </font>
    <font>
      <b/>
      <sz val="9"/>
      <name val="돋움"/>
      <family val="3"/>
    </font>
    <font>
      <b/>
      <sz val="10"/>
      <name val="휴먼명조"/>
      <family val="0"/>
    </font>
    <font>
      <b/>
      <u val="single"/>
      <sz val="16"/>
      <name val="궁서체"/>
      <family val="1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돋움"/>
      <family val="3"/>
    </font>
    <font>
      <sz val="9"/>
      <name val="Arial Narrow"/>
      <family val="2"/>
    </font>
    <font>
      <sz val="9"/>
      <name val="굴림"/>
      <family val="3"/>
    </font>
    <font>
      <b/>
      <sz val="9"/>
      <color indexed="10"/>
      <name val="Arial"/>
      <family val="2"/>
    </font>
    <font>
      <b/>
      <sz val="9"/>
      <color indexed="10"/>
      <name val="돋움"/>
      <family val="3"/>
    </font>
    <font>
      <sz val="9"/>
      <name val="Tahoma"/>
      <family val="2"/>
    </font>
    <font>
      <b/>
      <sz val="9"/>
      <name val="Tahoma"/>
      <family val="2"/>
    </font>
    <font>
      <b/>
      <sz val="18"/>
      <name val="돋움체"/>
      <family val="3"/>
    </font>
    <font>
      <b/>
      <sz val="9"/>
      <name val="돋움체"/>
      <family val="3"/>
    </font>
    <font>
      <b/>
      <sz val="10"/>
      <name val="돋움체"/>
      <family val="3"/>
    </font>
    <font>
      <sz val="9"/>
      <name val="돋움체"/>
      <family val="3"/>
    </font>
    <font>
      <b/>
      <u val="double"/>
      <sz val="22"/>
      <name val="궁서체"/>
      <family val="1"/>
    </font>
    <font>
      <sz val="9"/>
      <name val="바탕체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10"/>
      <name val="맑은 고딕"/>
      <family val="3"/>
    </font>
    <font>
      <sz val="11"/>
      <color indexed="20"/>
      <name val="맑은 고딕"/>
      <family val="3"/>
    </font>
    <font>
      <sz val="11"/>
      <color indexed="19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sz val="10"/>
      <color indexed="8"/>
      <name val="바탕체"/>
      <family val="1"/>
    </font>
    <font>
      <sz val="11"/>
      <color indexed="8"/>
      <name val="돋움"/>
      <family val="3"/>
    </font>
    <font>
      <sz val="10"/>
      <color indexed="10"/>
      <name val="바탕체"/>
      <family val="1"/>
    </font>
    <font>
      <sz val="10"/>
      <color indexed="10"/>
      <name val="휴먼명조"/>
      <family val="0"/>
    </font>
    <font>
      <sz val="11"/>
      <color indexed="10"/>
      <name val="돋움"/>
      <family val="3"/>
    </font>
    <font>
      <sz val="9"/>
      <color indexed="10"/>
      <name val="돋움체"/>
      <family val="3"/>
    </font>
    <font>
      <sz val="11"/>
      <color indexed="10"/>
      <name val="Arial Narrow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sz val="10"/>
      <color theme="1"/>
      <name val="바탕체"/>
      <family val="1"/>
    </font>
    <font>
      <sz val="11"/>
      <color theme="1"/>
      <name val="돋움"/>
      <family val="3"/>
    </font>
    <font>
      <b/>
      <sz val="9"/>
      <color rgb="FFFF0000"/>
      <name val="Arial"/>
      <family val="2"/>
    </font>
    <font>
      <sz val="10"/>
      <color rgb="FFFF0000"/>
      <name val="바탕체"/>
      <family val="1"/>
    </font>
    <font>
      <sz val="10"/>
      <color rgb="FFFF0000"/>
      <name val="휴먼명조"/>
      <family val="0"/>
    </font>
    <font>
      <sz val="11"/>
      <color rgb="FFFF0000"/>
      <name val="돋움"/>
      <family val="3"/>
    </font>
    <font>
      <sz val="9"/>
      <color rgb="FFFF0000"/>
      <name val="돋움체"/>
      <family val="3"/>
    </font>
    <font>
      <sz val="11"/>
      <color rgb="FFFF0000"/>
      <name val="Arial Narrow"/>
      <family val="2"/>
    </font>
    <font>
      <b/>
      <sz val="8"/>
      <name val="돋움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3" fontId="32" fillId="0" borderId="0" applyFont="0" applyFill="0" applyBorder="0" applyAlignment="0" applyProtection="0"/>
    <xf numFmtId="0" fontId="79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31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8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>
      <alignment/>
      <protection/>
    </xf>
    <xf numFmtId="0" fontId="13" fillId="0" borderId="0" applyNumberFormat="0" applyFill="0" applyBorder="0" applyAlignment="0" applyProtection="0"/>
    <xf numFmtId="0" fontId="0" fillId="0" borderId="10" applyNumberFormat="0">
      <alignment horizontal="left"/>
      <protection/>
    </xf>
  </cellStyleXfs>
  <cellXfs count="555"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 vertical="top" shrinkToFit="1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 quotePrefix="1">
      <alignment vertical="center"/>
    </xf>
    <xf numFmtId="0" fontId="7" fillId="0" borderId="0" xfId="0" applyFont="1" applyBorder="1" applyAlignment="1">
      <alignment horizontal="distributed" vertical="center" shrinkToFit="1"/>
    </xf>
    <xf numFmtId="0" fontId="7" fillId="0" borderId="11" xfId="0" applyFont="1" applyBorder="1" applyAlignment="1">
      <alignment horizontal="distributed" vertical="center" shrinkToFit="1"/>
    </xf>
    <xf numFmtId="0" fontId="4" fillId="0" borderId="11" xfId="0" applyFont="1" applyBorder="1" applyAlignment="1">
      <alignment vertical="center"/>
    </xf>
    <xf numFmtId="0" fontId="6" fillId="0" borderId="0" xfId="0" applyFont="1" applyBorder="1" applyAlignment="1" quotePrefix="1">
      <alignment vertical="center"/>
    </xf>
    <xf numFmtId="0" fontId="7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 quotePrefix="1">
      <alignment vertical="center"/>
    </xf>
    <xf numFmtId="0" fontId="7" fillId="0" borderId="18" xfId="0" applyFont="1" applyBorder="1" applyAlignment="1">
      <alignment horizontal="distributed" vertical="center" shrinkToFit="1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0" fillId="0" borderId="0" xfId="0" applyFill="1" applyBorder="1" applyAlignment="1">
      <alignment/>
    </xf>
    <xf numFmtId="177" fontId="15" fillId="0" borderId="0" xfId="0" applyNumberFormat="1" applyFont="1" applyAlignment="1">
      <alignment/>
    </xf>
    <xf numFmtId="182" fontId="12" fillId="0" borderId="11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93" fontId="6" fillId="0" borderId="0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horizontal="distributed" vertical="distributed" shrinkToFit="1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182" fontId="19" fillId="0" borderId="0" xfId="0" applyNumberFormat="1" applyFont="1" applyBorder="1" applyAlignment="1">
      <alignment vertical="center"/>
    </xf>
    <xf numFmtId="182" fontId="19" fillId="0" borderId="11" xfId="0" applyNumberFormat="1" applyFont="1" applyBorder="1" applyAlignment="1">
      <alignment vertical="center"/>
    </xf>
    <xf numFmtId="182" fontId="19" fillId="0" borderId="21" xfId="0" applyNumberFormat="1" applyFont="1" applyBorder="1" applyAlignment="1">
      <alignment vertical="center"/>
    </xf>
    <xf numFmtId="182" fontId="19" fillId="0" borderId="22" xfId="0" applyNumberFormat="1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82" fontId="22" fillId="0" borderId="0" xfId="0" applyNumberFormat="1" applyFont="1" applyBorder="1" applyAlignment="1">
      <alignment vertical="center"/>
    </xf>
    <xf numFmtId="182" fontId="22" fillId="0" borderId="11" xfId="0" applyNumberFormat="1" applyFont="1" applyBorder="1" applyAlignment="1">
      <alignment vertical="center"/>
    </xf>
    <xf numFmtId="182" fontId="22" fillId="0" borderId="21" xfId="0" applyNumberFormat="1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1" fillId="0" borderId="11" xfId="0" applyFont="1" applyBorder="1" applyAlignment="1">
      <alignment horizontal="distributed" vertical="center" shrinkToFit="1"/>
    </xf>
    <xf numFmtId="0" fontId="21" fillId="0" borderId="0" xfId="0" applyFont="1" applyBorder="1" applyAlignment="1">
      <alignment horizontal="distributed" vertical="center" shrinkToFit="1"/>
    </xf>
    <xf numFmtId="182" fontId="22" fillId="0" borderId="23" xfId="0" applyNumberFormat="1" applyFont="1" applyBorder="1" applyAlignment="1">
      <alignment vertical="center"/>
    </xf>
    <xf numFmtId="196" fontId="19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/>
    </xf>
    <xf numFmtId="186" fontId="6" fillId="0" borderId="0" xfId="0" applyNumberFormat="1" applyFont="1" applyBorder="1" applyAlignment="1">
      <alignment vertical="center"/>
    </xf>
    <xf numFmtId="187" fontId="6" fillId="0" borderId="0" xfId="0" applyNumberFormat="1" applyFont="1" applyBorder="1" applyAlignment="1">
      <alignment vertical="center"/>
    </xf>
    <xf numFmtId="182" fontId="19" fillId="0" borderId="0" xfId="0" applyNumberFormat="1" applyFont="1" applyFill="1" applyBorder="1" applyAlignment="1">
      <alignment vertical="center"/>
    </xf>
    <xf numFmtId="182" fontId="19" fillId="0" borderId="11" xfId="0" applyNumberFormat="1" applyFont="1" applyFill="1" applyBorder="1" applyAlignment="1">
      <alignment vertical="center"/>
    </xf>
    <xf numFmtId="182" fontId="19" fillId="0" borderId="17" xfId="0" applyNumberFormat="1" applyFont="1" applyBorder="1" applyAlignment="1">
      <alignment vertical="center"/>
    </xf>
    <xf numFmtId="182" fontId="19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 shrinkToFit="1"/>
    </xf>
    <xf numFmtId="177" fontId="6" fillId="0" borderId="11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 shrinkToFit="1"/>
    </xf>
    <xf numFmtId="0" fontId="7" fillId="0" borderId="18" xfId="0" applyFont="1" applyBorder="1" applyAlignment="1">
      <alignment horizontal="center" vertical="center" shrinkToFit="1"/>
    </xf>
    <xf numFmtId="0" fontId="21" fillId="0" borderId="0" xfId="0" applyFont="1" applyBorder="1" applyAlignment="1">
      <alignment vertical="center"/>
    </xf>
    <xf numFmtId="182" fontId="22" fillId="0" borderId="0" xfId="0" applyNumberFormat="1" applyFont="1" applyFill="1" applyBorder="1" applyAlignment="1">
      <alignment vertical="center"/>
    </xf>
    <xf numFmtId="182" fontId="22" fillId="0" borderId="11" xfId="0" applyNumberFormat="1" applyFont="1" applyFill="1" applyBorder="1" applyAlignment="1">
      <alignment vertical="center"/>
    </xf>
    <xf numFmtId="182" fontId="22" fillId="0" borderId="25" xfId="0" applyNumberFormat="1" applyFont="1" applyBorder="1" applyAlignment="1">
      <alignment vertical="center"/>
    </xf>
    <xf numFmtId="193" fontId="6" fillId="0" borderId="17" xfId="0" applyNumberFormat="1" applyFont="1" applyBorder="1" applyAlignment="1" quotePrefix="1">
      <alignment horizontal="center" vertical="center"/>
    </xf>
    <xf numFmtId="41" fontId="24" fillId="0" borderId="0" xfId="0" applyNumberFormat="1" applyFont="1" applyBorder="1" applyAlignment="1">
      <alignment vertical="center"/>
    </xf>
    <xf numFmtId="41" fontId="24" fillId="0" borderId="21" xfId="0" applyNumberFormat="1" applyFont="1" applyBorder="1" applyAlignment="1">
      <alignment vertical="center"/>
    </xf>
    <xf numFmtId="177" fontId="24" fillId="0" borderId="0" xfId="0" applyNumberFormat="1" applyFont="1" applyBorder="1" applyAlignment="1">
      <alignment vertical="center"/>
    </xf>
    <xf numFmtId="185" fontId="24" fillId="0" borderId="0" xfId="0" applyNumberFormat="1" applyFont="1" applyBorder="1" applyAlignment="1">
      <alignment vertical="center"/>
    </xf>
    <xf numFmtId="185" fontId="24" fillId="0" borderId="11" xfId="0" applyNumberFormat="1" applyFont="1" applyBorder="1" applyAlignment="1">
      <alignment vertical="center"/>
    </xf>
    <xf numFmtId="41" fontId="24" fillId="0" borderId="11" xfId="0" applyNumberFormat="1" applyFont="1" applyBorder="1" applyAlignment="1">
      <alignment vertical="center"/>
    </xf>
    <xf numFmtId="185" fontId="24" fillId="0" borderId="21" xfId="0" applyNumberFormat="1" applyFont="1" applyBorder="1" applyAlignment="1">
      <alignment vertical="center"/>
    </xf>
    <xf numFmtId="185" fontId="24" fillId="0" borderId="22" xfId="0" applyNumberFormat="1" applyFont="1" applyBorder="1" applyAlignment="1">
      <alignment vertical="center"/>
    </xf>
    <xf numFmtId="177" fontId="24" fillId="0" borderId="21" xfId="0" applyNumberFormat="1" applyFont="1" applyBorder="1" applyAlignment="1">
      <alignment vertical="center"/>
    </xf>
    <xf numFmtId="185" fontId="24" fillId="0" borderId="0" xfId="0" applyNumberFormat="1" applyFont="1" applyFill="1" applyBorder="1" applyAlignment="1">
      <alignment vertical="center"/>
    </xf>
    <xf numFmtId="185" fontId="24" fillId="0" borderId="11" xfId="0" applyNumberFormat="1" applyFont="1" applyFill="1" applyBorder="1" applyAlignment="1">
      <alignment vertical="center"/>
    </xf>
    <xf numFmtId="185" fontId="24" fillId="0" borderId="21" xfId="0" applyNumberFormat="1" applyFont="1" applyFill="1" applyBorder="1" applyAlignment="1">
      <alignment vertical="center"/>
    </xf>
    <xf numFmtId="182" fontId="24" fillId="0" borderId="0" xfId="48" applyNumberFormat="1" applyFont="1" applyBorder="1" applyAlignment="1">
      <alignment vertical="center"/>
    </xf>
    <xf numFmtId="182" fontId="24" fillId="0" borderId="11" xfId="48" applyNumberFormat="1" applyFont="1" applyBorder="1" applyAlignment="1">
      <alignment vertical="center"/>
    </xf>
    <xf numFmtId="182" fontId="24" fillId="0" borderId="21" xfId="48" applyNumberFormat="1" applyFont="1" applyBorder="1" applyAlignment="1">
      <alignment vertical="center"/>
    </xf>
    <xf numFmtId="182" fontId="16" fillId="0" borderId="17" xfId="0" applyNumberFormat="1" applyFont="1" applyBorder="1" applyAlignment="1">
      <alignment vertical="center"/>
    </xf>
    <xf numFmtId="182" fontId="16" fillId="0" borderId="18" xfId="0" applyNumberFormat="1" applyFont="1" applyBorder="1" applyAlignment="1">
      <alignment vertical="center"/>
    </xf>
    <xf numFmtId="182" fontId="16" fillId="0" borderId="26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177" fontId="18" fillId="0" borderId="0" xfId="0" applyNumberFormat="1" applyFont="1" applyBorder="1" applyAlignment="1">
      <alignment vertical="center"/>
    </xf>
    <xf numFmtId="177" fontId="18" fillId="0" borderId="11" xfId="0" applyNumberFormat="1" applyFont="1" applyBorder="1" applyAlignment="1">
      <alignment vertical="center"/>
    </xf>
    <xf numFmtId="41" fontId="18" fillId="0" borderId="0" xfId="0" applyNumberFormat="1" applyFont="1" applyBorder="1" applyAlignment="1">
      <alignment vertical="center"/>
    </xf>
    <xf numFmtId="41" fontId="18" fillId="0" borderId="21" xfId="0" applyNumberFormat="1" applyFont="1" applyBorder="1" applyAlignment="1">
      <alignment vertical="center"/>
    </xf>
    <xf numFmtId="41" fontId="24" fillId="0" borderId="17" xfId="0" applyNumberFormat="1" applyFont="1" applyBorder="1" applyAlignment="1">
      <alignment vertical="center"/>
    </xf>
    <xf numFmtId="41" fontId="24" fillId="0" borderId="18" xfId="0" applyNumberFormat="1" applyFont="1" applyBorder="1" applyAlignment="1">
      <alignment vertical="center"/>
    </xf>
    <xf numFmtId="41" fontId="24" fillId="0" borderId="27" xfId="0" applyNumberFormat="1" applyFont="1" applyBorder="1" applyAlignment="1">
      <alignment vertical="center"/>
    </xf>
    <xf numFmtId="41" fontId="24" fillId="0" borderId="26" xfId="0" applyNumberFormat="1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41" fontId="18" fillId="0" borderId="11" xfId="0" applyNumberFormat="1" applyFont="1" applyBorder="1" applyAlignment="1">
      <alignment vertical="center"/>
    </xf>
    <xf numFmtId="177" fontId="18" fillId="0" borderId="21" xfId="0" applyNumberFormat="1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177" fontId="18" fillId="0" borderId="23" xfId="0" applyNumberFormat="1" applyFont="1" applyBorder="1" applyAlignment="1">
      <alignment vertical="center"/>
    </xf>
    <xf numFmtId="177" fontId="18" fillId="0" borderId="25" xfId="0" applyNumberFormat="1" applyFont="1" applyBorder="1" applyAlignment="1">
      <alignment vertical="center"/>
    </xf>
    <xf numFmtId="188" fontId="18" fillId="0" borderId="0" xfId="0" applyNumberFormat="1" applyFont="1" applyFill="1" applyBorder="1" applyAlignment="1">
      <alignment vertical="center"/>
    </xf>
    <xf numFmtId="188" fontId="18" fillId="0" borderId="11" xfId="0" applyNumberFormat="1" applyFont="1" applyFill="1" applyBorder="1" applyAlignment="1">
      <alignment vertical="center"/>
    </xf>
    <xf numFmtId="188" fontId="18" fillId="0" borderId="21" xfId="0" applyNumberFormat="1" applyFont="1" applyFill="1" applyBorder="1" applyAlignment="1">
      <alignment vertical="center"/>
    </xf>
    <xf numFmtId="177" fontId="18" fillId="0" borderId="0" xfId="0" applyNumberFormat="1" applyFont="1" applyFill="1" applyBorder="1" applyAlignment="1">
      <alignment vertical="center"/>
    </xf>
    <xf numFmtId="177" fontId="18" fillId="0" borderId="11" xfId="0" applyNumberFormat="1" applyFont="1" applyFill="1" applyBorder="1" applyAlignment="1">
      <alignment vertical="center"/>
    </xf>
    <xf numFmtId="177" fontId="18" fillId="0" borderId="21" xfId="0" applyNumberFormat="1" applyFont="1" applyFill="1" applyBorder="1" applyAlignment="1">
      <alignment vertical="center"/>
    </xf>
    <xf numFmtId="177" fontId="19" fillId="0" borderId="0" xfId="48" applyNumberFormat="1" applyFont="1" applyBorder="1" applyAlignment="1">
      <alignment vertical="center"/>
    </xf>
    <xf numFmtId="200" fontId="6" fillId="0" borderId="0" xfId="0" applyNumberFormat="1" applyFont="1" applyBorder="1" applyAlignment="1" quotePrefix="1">
      <alignment vertic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12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vertical="center"/>
    </xf>
    <xf numFmtId="182" fontId="12" fillId="0" borderId="28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top" shrinkToFit="1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 shrinkToFit="1"/>
    </xf>
    <xf numFmtId="0" fontId="7" fillId="0" borderId="11" xfId="0" applyFont="1" applyFill="1" applyBorder="1" applyAlignment="1">
      <alignment horizontal="distributed" vertical="center" shrinkToFit="1"/>
    </xf>
    <xf numFmtId="193" fontId="6" fillId="0" borderId="0" xfId="0" applyNumberFormat="1" applyFont="1" applyFill="1" applyBorder="1" applyAlignment="1" quotePrefix="1">
      <alignment horizontal="center" vertical="center"/>
    </xf>
    <xf numFmtId="0" fontId="0" fillId="0" borderId="0" xfId="0" applyFill="1" applyBorder="1" applyAlignment="1" quotePrefix="1">
      <alignment vertical="center"/>
    </xf>
    <xf numFmtId="0" fontId="4" fillId="0" borderId="11" xfId="0" applyFont="1" applyFill="1" applyBorder="1" applyAlignment="1">
      <alignment vertical="center"/>
    </xf>
    <xf numFmtId="182" fontId="12" fillId="0" borderId="29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182" fontId="12" fillId="0" borderId="30" xfId="0" applyNumberFormat="1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 quotePrefix="1">
      <alignment vertical="center"/>
    </xf>
    <xf numFmtId="0" fontId="7" fillId="0" borderId="18" xfId="0" applyFont="1" applyFill="1" applyBorder="1" applyAlignment="1">
      <alignment vertical="center"/>
    </xf>
    <xf numFmtId="0" fontId="0" fillId="0" borderId="17" xfId="0" applyFill="1" applyBorder="1" applyAlignment="1">
      <alignment/>
    </xf>
    <xf numFmtId="182" fontId="12" fillId="0" borderId="31" xfId="0" applyNumberFormat="1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0" fillId="0" borderId="20" xfId="0" applyFill="1" applyBorder="1" applyAlignment="1">
      <alignment/>
    </xf>
    <xf numFmtId="0" fontId="11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0" fontId="0" fillId="0" borderId="13" xfId="0" applyBorder="1" applyAlignment="1">
      <alignment/>
    </xf>
    <xf numFmtId="193" fontId="6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right" vertical="center"/>
    </xf>
    <xf numFmtId="0" fontId="27" fillId="0" borderId="28" xfId="0" applyFont="1" applyFill="1" applyBorder="1" applyAlignment="1">
      <alignment horizontal="right" vertical="center"/>
    </xf>
    <xf numFmtId="3" fontId="27" fillId="0" borderId="28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/>
    </xf>
    <xf numFmtId="0" fontId="15" fillId="0" borderId="0" xfId="0" applyFont="1" applyFill="1" applyBorder="1" applyAlignment="1">
      <alignment horizontal="distributed" vertical="center"/>
    </xf>
    <xf numFmtId="0" fontId="26" fillId="0" borderId="11" xfId="0" applyFont="1" applyFill="1" applyBorder="1" applyAlignment="1">
      <alignment horizontal="center" vertical="center"/>
    </xf>
    <xf numFmtId="3" fontId="26" fillId="0" borderId="28" xfId="0" applyNumberFormat="1" applyFont="1" applyFill="1" applyBorder="1" applyAlignment="1">
      <alignment horizontal="right" vertical="center"/>
    </xf>
    <xf numFmtId="0" fontId="26" fillId="0" borderId="28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distributed" vertical="center"/>
    </xf>
    <xf numFmtId="0" fontId="27" fillId="0" borderId="29" xfId="0" applyFont="1" applyFill="1" applyBorder="1" applyAlignment="1">
      <alignment horizontal="right" vertical="center"/>
    </xf>
    <xf numFmtId="3" fontId="27" fillId="0" borderId="29" xfId="0" applyNumberFormat="1" applyFont="1" applyFill="1" applyBorder="1" applyAlignment="1">
      <alignment horizontal="right" vertical="center"/>
    </xf>
    <xf numFmtId="182" fontId="6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26" fillId="0" borderId="28" xfId="48" applyFont="1" applyFill="1" applyBorder="1" applyAlignment="1">
      <alignment horizontal="right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distributed" vertical="center" indent="2"/>
    </xf>
    <xf numFmtId="0" fontId="4" fillId="33" borderId="18" xfId="0" applyFont="1" applyFill="1" applyBorder="1" applyAlignment="1">
      <alignment horizontal="distributed" vertical="center" indent="2"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12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distributed" vertical="center"/>
    </xf>
    <xf numFmtId="0" fontId="0" fillId="33" borderId="33" xfId="0" applyFont="1" applyFill="1" applyBorder="1" applyAlignment="1">
      <alignment horizontal="distributed" vertical="center"/>
    </xf>
    <xf numFmtId="0" fontId="4" fillId="33" borderId="34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6" xfId="0" applyFont="1" applyFill="1" applyBorder="1" applyAlignment="1">
      <alignment vertical="center"/>
    </xf>
    <xf numFmtId="0" fontId="0" fillId="33" borderId="18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distributed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4" xfId="0" applyFill="1" applyBorder="1" applyAlignment="1">
      <alignment horizontal="distributed" vertical="center"/>
    </xf>
    <xf numFmtId="0" fontId="0" fillId="33" borderId="16" xfId="0" applyFill="1" applyBorder="1" applyAlignment="1">
      <alignment vertical="center"/>
    </xf>
    <xf numFmtId="0" fontId="0" fillId="33" borderId="18" xfId="0" applyFill="1" applyBorder="1" applyAlignment="1">
      <alignment horizontal="distributed" vertical="center"/>
    </xf>
    <xf numFmtId="185" fontId="24" fillId="0" borderId="22" xfId="0" applyNumberFormat="1" applyFont="1" applyFill="1" applyBorder="1" applyAlignment="1">
      <alignment vertical="center"/>
    </xf>
    <xf numFmtId="41" fontId="18" fillId="0" borderId="0" xfId="0" applyNumberFormat="1" applyFont="1" applyFill="1" applyBorder="1" applyAlignment="1">
      <alignment vertical="center"/>
    </xf>
    <xf numFmtId="41" fontId="18" fillId="0" borderId="21" xfId="0" applyNumberFormat="1" applyFont="1" applyFill="1" applyBorder="1" applyAlignment="1">
      <alignment vertical="center"/>
    </xf>
    <xf numFmtId="0" fontId="0" fillId="0" borderId="19" xfId="0" applyFill="1" applyBorder="1" applyAlignment="1">
      <alignment/>
    </xf>
    <xf numFmtId="41" fontId="24" fillId="0" borderId="0" xfId="0" applyNumberFormat="1" applyFont="1" applyFill="1" applyBorder="1" applyAlignment="1">
      <alignment vertical="center"/>
    </xf>
    <xf numFmtId="41" fontId="24" fillId="0" borderId="21" xfId="0" applyNumberFormat="1" applyFont="1" applyFill="1" applyBorder="1" applyAlignment="1">
      <alignment vertical="center"/>
    </xf>
    <xf numFmtId="177" fontId="24" fillId="0" borderId="0" xfId="0" applyNumberFormat="1" applyFont="1" applyFill="1" applyBorder="1" applyAlignment="1">
      <alignment vertical="center"/>
    </xf>
    <xf numFmtId="177" fontId="24" fillId="0" borderId="11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 shrinkToFit="1"/>
    </xf>
    <xf numFmtId="0" fontId="24" fillId="0" borderId="21" xfId="0" applyFont="1" applyFill="1" applyBorder="1" applyAlignment="1">
      <alignment vertical="center" shrinkToFit="1"/>
    </xf>
    <xf numFmtId="41" fontId="24" fillId="0" borderId="0" xfId="48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distributed" vertical="center" indent="2"/>
    </xf>
    <xf numFmtId="0" fontId="4" fillId="33" borderId="17" xfId="0" applyFont="1" applyFill="1" applyBorder="1" applyAlignment="1">
      <alignment horizontal="distributed" vertical="center" indent="2"/>
    </xf>
    <xf numFmtId="200" fontId="6" fillId="0" borderId="17" xfId="0" applyNumberFormat="1" applyFont="1" applyBorder="1" applyAlignment="1" quotePrefix="1">
      <alignment vertical="center"/>
    </xf>
    <xf numFmtId="185" fontId="24" fillId="0" borderId="17" xfId="0" applyNumberFormat="1" applyFont="1" applyBorder="1" applyAlignment="1">
      <alignment vertical="center"/>
    </xf>
    <xf numFmtId="185" fontId="24" fillId="0" borderId="18" xfId="0" applyNumberFormat="1" applyFont="1" applyBorder="1" applyAlignment="1">
      <alignment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 horizontal="left"/>
    </xf>
    <xf numFmtId="177" fontId="19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 horizontal="center"/>
    </xf>
    <xf numFmtId="177" fontId="9" fillId="0" borderId="0" xfId="0" applyNumberFormat="1" applyFont="1" applyFill="1" applyAlignment="1">
      <alignment horizontal="left"/>
    </xf>
    <xf numFmtId="177" fontId="24" fillId="0" borderId="0" xfId="0" applyNumberFormat="1" applyFont="1" applyFill="1" applyAlignment="1">
      <alignment horizontal="right"/>
    </xf>
    <xf numFmtId="177" fontId="0" fillId="33" borderId="40" xfId="0" applyNumberFormat="1" applyFont="1" applyFill="1" applyBorder="1" applyAlignment="1">
      <alignment vertical="center"/>
    </xf>
    <xf numFmtId="177" fontId="0" fillId="33" borderId="41" xfId="0" applyNumberFormat="1" applyFont="1" applyFill="1" applyBorder="1" applyAlignment="1">
      <alignment vertical="center"/>
    </xf>
    <xf numFmtId="177" fontId="0" fillId="33" borderId="42" xfId="0" applyNumberFormat="1" applyFont="1" applyFill="1" applyBorder="1" applyAlignment="1">
      <alignment vertical="center"/>
    </xf>
    <xf numFmtId="177" fontId="0" fillId="33" borderId="41" xfId="0" applyNumberFormat="1" applyFont="1" applyFill="1" applyBorder="1" applyAlignment="1">
      <alignment horizontal="center" vertical="center"/>
    </xf>
    <xf numFmtId="177" fontId="12" fillId="33" borderId="10" xfId="0" applyNumberFormat="1" applyFont="1" applyFill="1" applyBorder="1" applyAlignment="1">
      <alignment horizontal="center" vertical="center"/>
    </xf>
    <xf numFmtId="177" fontId="0" fillId="33" borderId="0" xfId="0" applyNumberFormat="1" applyFont="1" applyFill="1" applyAlignment="1">
      <alignment vertical="center"/>
    </xf>
    <xf numFmtId="177" fontId="0" fillId="33" borderId="0" xfId="0" applyNumberFormat="1" applyFont="1" applyFill="1" applyAlignment="1">
      <alignment/>
    </xf>
    <xf numFmtId="177" fontId="0" fillId="0" borderId="15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41" fontId="33" fillId="0" borderId="43" xfId="48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distributed" vertical="center" shrinkToFit="1"/>
    </xf>
    <xf numFmtId="41" fontId="24" fillId="0" borderId="43" xfId="48" applyFont="1" applyFill="1" applyBorder="1" applyAlignment="1">
      <alignment horizontal="center" vertical="center"/>
    </xf>
    <xf numFmtId="177" fontId="24" fillId="0" borderId="43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 quotePrefix="1">
      <alignment vertical="center"/>
    </xf>
    <xf numFmtId="177" fontId="7" fillId="0" borderId="11" xfId="0" applyNumberFormat="1" applyFont="1" applyFill="1" applyBorder="1" applyAlignment="1">
      <alignment horizontal="distributed" vertical="center" shrinkToFit="1"/>
    </xf>
    <xf numFmtId="177" fontId="0" fillId="7" borderId="15" xfId="0" applyNumberFormat="1" applyFont="1" applyFill="1" applyBorder="1" applyAlignment="1">
      <alignment vertical="center"/>
    </xf>
    <xf numFmtId="177" fontId="6" fillId="7" borderId="0" xfId="0" applyNumberFormat="1" applyFont="1" applyFill="1" applyBorder="1" applyAlignment="1" quotePrefix="1">
      <alignment vertical="center"/>
    </xf>
    <xf numFmtId="177" fontId="7" fillId="7" borderId="0" xfId="0" applyNumberFormat="1" applyFont="1" applyFill="1" applyBorder="1" applyAlignment="1">
      <alignment horizontal="distributed" vertical="center" shrinkToFit="1"/>
    </xf>
    <xf numFmtId="177" fontId="7" fillId="7" borderId="11" xfId="0" applyNumberFormat="1" applyFont="1" applyFill="1" applyBorder="1" applyAlignment="1">
      <alignment horizontal="distributed" vertical="center" shrinkToFit="1"/>
    </xf>
    <xf numFmtId="177" fontId="24" fillId="7" borderId="43" xfId="0" applyNumberFormat="1" applyFont="1" applyFill="1" applyBorder="1" applyAlignment="1">
      <alignment vertical="center"/>
    </xf>
    <xf numFmtId="177" fontId="0" fillId="7" borderId="0" xfId="0" applyNumberFormat="1" applyFont="1" applyFill="1" applyAlignment="1">
      <alignment vertical="center"/>
    </xf>
    <xf numFmtId="177" fontId="0" fillId="7" borderId="0" xfId="0" applyNumberFormat="1" applyFont="1" applyFill="1" applyAlignment="1">
      <alignment/>
    </xf>
    <xf numFmtId="177" fontId="18" fillId="0" borderId="43" xfId="0" applyNumberFormat="1" applyFont="1" applyFill="1" applyBorder="1" applyAlignment="1">
      <alignment horizontal="right" vertical="center" shrinkToFit="1"/>
    </xf>
    <xf numFmtId="177" fontId="18" fillId="0" borderId="43" xfId="0" applyNumberFormat="1" applyFont="1" applyFill="1" applyBorder="1" applyAlignment="1">
      <alignment vertical="center"/>
    </xf>
    <xf numFmtId="177" fontId="24" fillId="0" borderId="43" xfId="0" applyNumberFormat="1" applyFont="1" applyFill="1" applyBorder="1" applyAlignment="1">
      <alignment horizontal="right" vertical="center" shrinkToFit="1"/>
    </xf>
    <xf numFmtId="177" fontId="0" fillId="0" borderId="0" xfId="0" applyNumberFormat="1" applyFont="1" applyFill="1" applyBorder="1" applyAlignment="1" quotePrefix="1">
      <alignment vertical="center"/>
    </xf>
    <xf numFmtId="177" fontId="4" fillId="0" borderId="40" xfId="0" applyNumberFormat="1" applyFont="1" applyFill="1" applyBorder="1" applyAlignment="1">
      <alignment horizontal="left" vertical="center"/>
    </xf>
    <xf numFmtId="177" fontId="4" fillId="0" borderId="42" xfId="0" applyNumberFormat="1" applyFont="1" applyFill="1" applyBorder="1" applyAlignment="1">
      <alignment horizontal="center" vertical="center"/>
    </xf>
    <xf numFmtId="177" fontId="18" fillId="0" borderId="10" xfId="0" applyNumberFormat="1" applyFont="1" applyFill="1" applyBorder="1" applyAlignment="1">
      <alignment vertical="center"/>
    </xf>
    <xf numFmtId="177" fontId="4" fillId="0" borderId="41" xfId="0" applyNumberFormat="1" applyFont="1" applyFill="1" applyBorder="1" applyAlignment="1">
      <alignment horizontal="distributed" vertical="center"/>
    </xf>
    <xf numFmtId="177" fontId="4" fillId="0" borderId="41" xfId="0" applyNumberFormat="1" applyFont="1" applyFill="1" applyBorder="1" applyAlignment="1">
      <alignment horizontal="center" vertical="center"/>
    </xf>
    <xf numFmtId="177" fontId="24" fillId="0" borderId="44" xfId="0" applyNumberFormat="1" applyFont="1" applyFill="1" applyBorder="1" applyAlignment="1">
      <alignment vertical="center"/>
    </xf>
    <xf numFmtId="177" fontId="24" fillId="0" borderId="41" xfId="0" applyNumberFormat="1" applyFont="1" applyFill="1" applyBorder="1" applyAlignment="1">
      <alignment vertical="center"/>
    </xf>
    <xf numFmtId="177" fontId="19" fillId="0" borderId="41" xfId="0" applyNumberFormat="1" applyFont="1" applyFill="1" applyBorder="1" applyAlignment="1">
      <alignment/>
    </xf>
    <xf numFmtId="177" fontId="0" fillId="0" borderId="40" xfId="0" applyNumberFormat="1" applyFont="1" applyFill="1" applyBorder="1" applyAlignment="1">
      <alignment vertical="center"/>
    </xf>
    <xf numFmtId="177" fontId="0" fillId="0" borderId="41" xfId="0" applyNumberFormat="1" applyFont="1" applyFill="1" applyBorder="1" applyAlignment="1">
      <alignment vertical="center"/>
    </xf>
    <xf numFmtId="177" fontId="0" fillId="0" borderId="42" xfId="0" applyNumberFormat="1" applyFont="1" applyFill="1" applyBorder="1" applyAlignment="1">
      <alignment vertical="center"/>
    </xf>
    <xf numFmtId="177" fontId="12" fillId="0" borderId="10" xfId="0" applyNumberFormat="1" applyFont="1" applyFill="1" applyBorder="1" applyAlignment="1">
      <alignment horizontal="center" vertical="center"/>
    </xf>
    <xf numFmtId="177" fontId="4" fillId="0" borderId="15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center" vertical="center"/>
    </xf>
    <xf numFmtId="177" fontId="24" fillId="0" borderId="45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left" vertical="center"/>
    </xf>
    <xf numFmtId="177" fontId="88" fillId="0" borderId="43" xfId="0" applyNumberFormat="1" applyFont="1" applyFill="1" applyBorder="1" applyAlignment="1">
      <alignment vertical="center"/>
    </xf>
    <xf numFmtId="177" fontId="0" fillId="7" borderId="0" xfId="0" applyNumberFormat="1" applyFont="1" applyFill="1" applyBorder="1" applyAlignment="1" quotePrefix="1">
      <alignment vertical="center"/>
    </xf>
    <xf numFmtId="177" fontId="89" fillId="7" borderId="43" xfId="0" applyNumberFormat="1" applyFont="1" applyFill="1" applyBorder="1" applyAlignment="1">
      <alignment vertical="center"/>
    </xf>
    <xf numFmtId="177" fontId="7" fillId="0" borderId="15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distributed" vertical="center"/>
    </xf>
    <xf numFmtId="177" fontId="21" fillId="0" borderId="0" xfId="0" applyNumberFormat="1" applyFont="1" applyFill="1" applyBorder="1" applyAlignment="1">
      <alignment horizontal="distributed" vertical="center" shrinkToFit="1"/>
    </xf>
    <xf numFmtId="177" fontId="18" fillId="0" borderId="43" xfId="0" applyNumberFormat="1" applyFont="1" applyFill="1" applyBorder="1" applyAlignment="1">
      <alignment horizontal="right" vertical="center"/>
    </xf>
    <xf numFmtId="177" fontId="90" fillId="7" borderId="15" xfId="0" applyNumberFormat="1" applyFont="1" applyFill="1" applyBorder="1" applyAlignment="1">
      <alignment vertical="center"/>
    </xf>
    <xf numFmtId="177" fontId="91" fillId="7" borderId="0" xfId="0" applyNumberFormat="1" applyFont="1" applyFill="1" applyBorder="1" applyAlignment="1">
      <alignment vertical="center"/>
    </xf>
    <xf numFmtId="177" fontId="90" fillId="7" borderId="0" xfId="0" applyNumberFormat="1" applyFont="1" applyFill="1" applyBorder="1" applyAlignment="1">
      <alignment horizontal="distributed" vertical="center" shrinkToFit="1"/>
    </xf>
    <xf numFmtId="177" fontId="90" fillId="7" borderId="11" xfId="0" applyNumberFormat="1" applyFont="1" applyFill="1" applyBorder="1" applyAlignment="1">
      <alignment horizontal="distributed" vertical="center" shrinkToFit="1"/>
    </xf>
    <xf numFmtId="177" fontId="88" fillId="7" borderId="43" xfId="0" applyNumberFormat="1" applyFont="1" applyFill="1" applyBorder="1" applyAlignment="1">
      <alignment vertical="center"/>
    </xf>
    <xf numFmtId="177" fontId="91" fillId="7" borderId="0" xfId="0" applyNumberFormat="1" applyFont="1" applyFill="1" applyAlignment="1">
      <alignment vertical="center"/>
    </xf>
    <xf numFmtId="177" fontId="91" fillId="7" borderId="0" xfId="0" applyNumberFormat="1" applyFont="1" applyFill="1" applyAlignment="1">
      <alignment/>
    </xf>
    <xf numFmtId="177" fontId="91" fillId="7" borderId="15" xfId="0" applyNumberFormat="1" applyFont="1" applyFill="1" applyBorder="1" applyAlignment="1">
      <alignment vertical="center"/>
    </xf>
    <xf numFmtId="177" fontId="90" fillId="7" borderId="19" xfId="0" applyNumberFormat="1" applyFont="1" applyFill="1" applyBorder="1" applyAlignment="1">
      <alignment horizontal="distributed" vertical="center" shrinkToFit="1"/>
    </xf>
    <xf numFmtId="182" fontId="12" fillId="7" borderId="43" xfId="0" applyNumberFormat="1" applyFont="1" applyFill="1" applyBorder="1" applyAlignment="1">
      <alignment vertical="center"/>
    </xf>
    <xf numFmtId="177" fontId="4" fillId="0" borderId="40" xfId="0" applyNumberFormat="1" applyFont="1" applyFill="1" applyBorder="1" applyAlignment="1">
      <alignment vertical="center"/>
    </xf>
    <xf numFmtId="177" fontId="34" fillId="0" borderId="0" xfId="0" applyNumberFormat="1" applyFont="1" applyFill="1" applyAlignment="1">
      <alignment/>
    </xf>
    <xf numFmtId="192" fontId="19" fillId="0" borderId="0" xfId="0" applyNumberFormat="1" applyFont="1" applyFill="1" applyAlignment="1">
      <alignment/>
    </xf>
    <xf numFmtId="177" fontId="19" fillId="0" borderId="0" xfId="0" applyNumberFormat="1" applyFont="1" applyFill="1" applyAlignment="1">
      <alignment vertical="center"/>
    </xf>
    <xf numFmtId="0" fontId="92" fillId="33" borderId="28" xfId="0" applyFont="1" applyFill="1" applyBorder="1" applyAlignment="1">
      <alignment horizontal="right" vertic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182" fontId="16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7" fillId="33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182" fontId="12" fillId="0" borderId="49" xfId="0" applyNumberFormat="1" applyFont="1" applyFill="1" applyBorder="1" applyAlignment="1">
      <alignment vertical="center"/>
    </xf>
    <xf numFmtId="193" fontId="0" fillId="0" borderId="0" xfId="0" applyNumberFormat="1" applyFill="1" applyBorder="1" applyAlignment="1" quotePrefix="1">
      <alignment horizontal="center" vertical="center"/>
    </xf>
    <xf numFmtId="0" fontId="0" fillId="7" borderId="15" xfId="0" applyFill="1" applyBorder="1" applyAlignment="1">
      <alignment vertical="center"/>
    </xf>
    <xf numFmtId="0" fontId="0" fillId="7" borderId="0" xfId="0" applyFill="1" applyBorder="1" applyAlignment="1">
      <alignment vertical="center"/>
    </xf>
    <xf numFmtId="193" fontId="6" fillId="7" borderId="0" xfId="0" applyNumberFormat="1" applyFont="1" applyFill="1" applyBorder="1" applyAlignment="1" quotePrefix="1">
      <alignment horizontal="center" vertical="center"/>
    </xf>
    <xf numFmtId="0" fontId="7" fillId="7" borderId="0" xfId="0" applyFont="1" applyFill="1" applyBorder="1" applyAlignment="1">
      <alignment horizontal="distributed" vertical="center" shrinkToFit="1"/>
    </xf>
    <xf numFmtId="0" fontId="7" fillId="7" borderId="11" xfId="0" applyFont="1" applyFill="1" applyBorder="1" applyAlignment="1">
      <alignment horizontal="distributed" vertical="center" shrinkToFit="1"/>
    </xf>
    <xf numFmtId="182" fontId="12" fillId="7" borderId="11" xfId="0" applyNumberFormat="1" applyFont="1" applyFill="1" applyBorder="1" applyAlignment="1">
      <alignment vertical="center"/>
    </xf>
    <xf numFmtId="182" fontId="12" fillId="7" borderId="28" xfId="0" applyNumberFormat="1" applyFont="1" applyFill="1" applyBorder="1" applyAlignment="1">
      <alignment vertical="center"/>
    </xf>
    <xf numFmtId="182" fontId="12" fillId="7" borderId="49" xfId="0" applyNumberFormat="1" applyFont="1" applyFill="1" applyBorder="1" applyAlignment="1">
      <alignment vertical="center"/>
    </xf>
    <xf numFmtId="0" fontId="0" fillId="7" borderId="0" xfId="0" applyFill="1" applyAlignment="1">
      <alignment/>
    </xf>
    <xf numFmtId="0" fontId="93" fillId="0" borderId="0" xfId="0" applyFont="1" applyFill="1" applyBorder="1" applyAlignment="1">
      <alignment horizontal="distributed" vertical="center" shrinkToFit="1"/>
    </xf>
    <xf numFmtId="182" fontId="94" fillId="0" borderId="11" xfId="0" applyNumberFormat="1" applyFont="1" applyFill="1" applyBorder="1" applyAlignment="1">
      <alignment vertical="center"/>
    </xf>
    <xf numFmtId="182" fontId="12" fillId="0" borderId="50" xfId="0" applyNumberFormat="1" applyFont="1" applyFill="1" applyBorder="1" applyAlignment="1">
      <alignment vertical="center"/>
    </xf>
    <xf numFmtId="182" fontId="12" fillId="0" borderId="51" xfId="0" applyNumberFormat="1" applyFont="1" applyFill="1" applyBorder="1" applyAlignment="1">
      <alignment vertical="center"/>
    </xf>
    <xf numFmtId="182" fontId="12" fillId="0" borderId="52" xfId="0" applyNumberFormat="1" applyFont="1" applyFill="1" applyBorder="1" applyAlignment="1">
      <alignment vertical="center"/>
    </xf>
    <xf numFmtId="182" fontId="12" fillId="0" borderId="53" xfId="0" applyNumberFormat="1" applyFont="1" applyFill="1" applyBorder="1" applyAlignment="1">
      <alignment vertical="center"/>
    </xf>
    <xf numFmtId="182" fontId="12" fillId="0" borderId="54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182" fontId="12" fillId="0" borderId="0" xfId="0" applyNumberFormat="1" applyFont="1" applyFill="1" applyBorder="1" applyAlignment="1">
      <alignment vertical="center"/>
    </xf>
    <xf numFmtId="182" fontId="12" fillId="0" borderId="23" xfId="0" applyNumberFormat="1" applyFont="1" applyFill="1" applyBorder="1" applyAlignment="1">
      <alignment vertical="center"/>
    </xf>
    <xf numFmtId="182" fontId="0" fillId="0" borderId="0" xfId="0" applyNumberFormat="1" applyFill="1" applyAlignment="1">
      <alignment/>
    </xf>
    <xf numFmtId="0" fontId="6" fillId="0" borderId="24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33" fillId="0" borderId="48" xfId="0" applyFont="1" applyFill="1" applyBorder="1" applyAlignment="1">
      <alignment vertical="center"/>
    </xf>
    <xf numFmtId="182" fontId="29" fillId="0" borderId="49" xfId="0" applyNumberFormat="1" applyFont="1" applyFill="1" applyBorder="1" applyAlignment="1">
      <alignment vertical="center"/>
    </xf>
    <xf numFmtId="182" fontId="12" fillId="0" borderId="21" xfId="0" applyNumberFormat="1" applyFont="1" applyFill="1" applyBorder="1" applyAlignment="1">
      <alignment vertical="center"/>
    </xf>
    <xf numFmtId="182" fontId="12" fillId="0" borderId="55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distributed" vertical="center" shrinkToFit="1"/>
    </xf>
    <xf numFmtId="182" fontId="12" fillId="0" borderId="56" xfId="0" applyNumberFormat="1" applyFont="1" applyFill="1" applyBorder="1" applyAlignment="1">
      <alignment vertical="center"/>
    </xf>
    <xf numFmtId="182" fontId="12" fillId="0" borderId="38" xfId="0" applyNumberFormat="1" applyFont="1" applyFill="1" applyBorder="1" applyAlignment="1">
      <alignment vertical="center"/>
    </xf>
    <xf numFmtId="182" fontId="12" fillId="0" borderId="46" xfId="0" applyNumberFormat="1" applyFont="1" applyFill="1" applyBorder="1" applyAlignment="1">
      <alignment vertical="center"/>
    </xf>
    <xf numFmtId="182" fontId="12" fillId="0" borderId="39" xfId="0" applyNumberFormat="1" applyFont="1" applyFill="1" applyBorder="1" applyAlignment="1">
      <alignment vertical="center"/>
    </xf>
    <xf numFmtId="182" fontId="29" fillId="0" borderId="57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 shrinkToFit="1"/>
    </xf>
    <xf numFmtId="182" fontId="12" fillId="0" borderId="14" xfId="0" applyNumberFormat="1" applyFont="1" applyFill="1" applyBorder="1" applyAlignment="1">
      <alignment vertical="center"/>
    </xf>
    <xf numFmtId="182" fontId="12" fillId="0" borderId="18" xfId="0" applyNumberFormat="1" applyFont="1" applyFill="1" applyBorder="1" applyAlignment="1">
      <alignment vertical="center"/>
    </xf>
    <xf numFmtId="182" fontId="12" fillId="0" borderId="58" xfId="0" applyNumberFormat="1" applyFont="1" applyFill="1" applyBorder="1" applyAlignment="1">
      <alignment vertical="center"/>
    </xf>
    <xf numFmtId="182" fontId="12" fillId="0" borderId="59" xfId="0" applyNumberFormat="1" applyFont="1" applyFill="1" applyBorder="1" applyAlignment="1">
      <alignment vertical="center"/>
    </xf>
    <xf numFmtId="182" fontId="12" fillId="0" borderId="60" xfId="0" applyNumberFormat="1" applyFont="1" applyFill="1" applyBorder="1" applyAlignment="1">
      <alignment vertical="center"/>
    </xf>
    <xf numFmtId="182" fontId="29" fillId="0" borderId="50" xfId="0" applyNumberFormat="1" applyFont="1" applyFill="1" applyBorder="1" applyAlignment="1">
      <alignment vertical="center"/>
    </xf>
    <xf numFmtId="182" fontId="29" fillId="0" borderId="51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84" fontId="18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 quotePrefix="1">
      <alignment vertical="center"/>
    </xf>
    <xf numFmtId="182" fontId="12" fillId="0" borderId="61" xfId="0" applyNumberFormat="1" applyFont="1" applyFill="1" applyBorder="1" applyAlignment="1">
      <alignment vertical="center"/>
    </xf>
    <xf numFmtId="182" fontId="12" fillId="0" borderId="62" xfId="0" applyNumberFormat="1" applyFont="1" applyFill="1" applyBorder="1" applyAlignment="1">
      <alignment vertical="center"/>
    </xf>
    <xf numFmtId="182" fontId="29" fillId="0" borderId="52" xfId="0" applyNumberFormat="1" applyFont="1" applyFill="1" applyBorder="1" applyAlignment="1">
      <alignment vertical="center"/>
    </xf>
    <xf numFmtId="182" fontId="12" fillId="0" borderId="63" xfId="0" applyNumberFormat="1" applyFont="1" applyFill="1" applyBorder="1" applyAlignment="1">
      <alignment vertical="center"/>
    </xf>
    <xf numFmtId="182" fontId="12" fillId="0" borderId="26" xfId="0" applyNumberFormat="1" applyFont="1" applyFill="1" applyBorder="1" applyAlignment="1">
      <alignment vertical="center"/>
    </xf>
    <xf numFmtId="182" fontId="12" fillId="0" borderId="22" xfId="0" applyNumberFormat="1" applyFont="1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2" xfId="0" applyFill="1" applyBorder="1" applyAlignment="1" quotePrefix="1">
      <alignment vertical="center"/>
    </xf>
    <xf numFmtId="0" fontId="7" fillId="0" borderId="22" xfId="0" applyFont="1" applyFill="1" applyBorder="1" applyAlignment="1">
      <alignment horizontal="distributed" vertical="center" shrinkToFit="1"/>
    </xf>
    <xf numFmtId="0" fontId="7" fillId="0" borderId="55" xfId="0" applyFont="1" applyFill="1" applyBorder="1" applyAlignment="1">
      <alignment horizontal="distributed" vertical="center" shrinkToFit="1"/>
    </xf>
    <xf numFmtId="177" fontId="95" fillId="0" borderId="15" xfId="0" applyNumberFormat="1" applyFont="1" applyFill="1" applyBorder="1" applyAlignment="1">
      <alignment vertical="center"/>
    </xf>
    <xf numFmtId="177" fontId="95" fillId="0" borderId="0" xfId="0" applyNumberFormat="1" applyFont="1" applyFill="1" applyBorder="1" applyAlignment="1" quotePrefix="1">
      <alignment vertical="center"/>
    </xf>
    <xf numFmtId="177" fontId="93" fillId="0" borderId="0" xfId="0" applyNumberFormat="1" applyFont="1" applyFill="1" applyBorder="1" applyAlignment="1">
      <alignment horizontal="distributed" vertical="center" shrinkToFit="1"/>
    </xf>
    <xf numFmtId="177" fontId="93" fillId="0" borderId="11" xfId="0" applyNumberFormat="1" applyFont="1" applyFill="1" applyBorder="1" applyAlignment="1">
      <alignment horizontal="distributed" vertical="center" shrinkToFit="1"/>
    </xf>
    <xf numFmtId="177" fontId="89" fillId="0" borderId="43" xfId="0" applyNumberFormat="1" applyFont="1" applyFill="1" applyBorder="1" applyAlignment="1">
      <alignment vertical="center"/>
    </xf>
    <xf numFmtId="177" fontId="95" fillId="0" borderId="0" xfId="0" applyNumberFormat="1" applyFont="1" applyFill="1" applyAlignment="1">
      <alignment vertical="center"/>
    </xf>
    <xf numFmtId="177" fontId="95" fillId="0" borderId="0" xfId="0" applyNumberFormat="1" applyFont="1" applyFill="1" applyAlignment="1">
      <alignment/>
    </xf>
    <xf numFmtId="177" fontId="93" fillId="0" borderId="15" xfId="0" applyNumberFormat="1" applyFont="1" applyFill="1" applyBorder="1" applyAlignment="1">
      <alignment vertical="center"/>
    </xf>
    <xf numFmtId="177" fontId="95" fillId="0" borderId="0" xfId="0" applyNumberFormat="1" applyFont="1" applyFill="1" applyBorder="1" applyAlignment="1">
      <alignment vertical="center"/>
    </xf>
    <xf numFmtId="41" fontId="5" fillId="0" borderId="0" xfId="0" applyNumberFormat="1" applyFont="1" applyAlignment="1">
      <alignment/>
    </xf>
    <xf numFmtId="177" fontId="24" fillId="33" borderId="43" xfId="0" applyNumberFormat="1" applyFont="1" applyFill="1" applyBorder="1" applyAlignment="1">
      <alignment vertical="center"/>
    </xf>
    <xf numFmtId="182" fontId="12" fillId="0" borderId="11" xfId="0" applyNumberFormat="1" applyFont="1" applyFill="1" applyBorder="1" applyAlignment="1">
      <alignment vertical="center"/>
    </xf>
    <xf numFmtId="197" fontId="15" fillId="0" borderId="0" xfId="0" applyNumberFormat="1" applyFont="1" applyBorder="1" applyAlignment="1">
      <alignment horizontal="left" vertical="center"/>
    </xf>
    <xf numFmtId="182" fontId="12" fillId="0" borderId="28" xfId="0" applyNumberFormat="1" applyFont="1" applyFill="1" applyBorder="1" applyAlignment="1">
      <alignment vertical="center"/>
    </xf>
    <xf numFmtId="182" fontId="12" fillId="0" borderId="11" xfId="0" applyNumberFormat="1" applyFont="1" applyFill="1" applyBorder="1" applyAlignment="1">
      <alignment vertical="center"/>
    </xf>
    <xf numFmtId="182" fontId="12" fillId="0" borderId="55" xfId="0" applyNumberFormat="1" applyFont="1" applyFill="1" applyBorder="1" applyAlignment="1">
      <alignment vertical="center"/>
    </xf>
    <xf numFmtId="182" fontId="12" fillId="0" borderId="56" xfId="0" applyNumberFormat="1" applyFont="1" applyFill="1" applyBorder="1" applyAlignment="1">
      <alignment vertical="center"/>
    </xf>
    <xf numFmtId="182" fontId="12" fillId="0" borderId="14" xfId="0" applyNumberFormat="1" applyFont="1" applyFill="1" applyBorder="1" applyAlignment="1">
      <alignment vertical="center"/>
    </xf>
    <xf numFmtId="182" fontId="12" fillId="0" borderId="18" xfId="0" applyNumberFormat="1" applyFont="1" applyFill="1" applyBorder="1" applyAlignment="1">
      <alignment vertical="center"/>
    </xf>
    <xf numFmtId="182" fontId="12" fillId="0" borderId="30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/>
    </xf>
    <xf numFmtId="182" fontId="12" fillId="0" borderId="0" xfId="0" applyNumberFormat="1" applyFont="1" applyFill="1" applyBorder="1" applyAlignment="1">
      <alignment vertical="center"/>
    </xf>
    <xf numFmtId="182" fontId="12" fillId="0" borderId="23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85" fontId="89" fillId="0" borderId="0" xfId="0" applyNumberFormat="1" applyFont="1" applyFill="1" applyBorder="1" applyAlignment="1">
      <alignment vertical="center"/>
    </xf>
    <xf numFmtId="177" fontId="0" fillId="33" borderId="15" xfId="0" applyNumberFormat="1" applyFont="1" applyFill="1" applyBorder="1" applyAlignment="1">
      <alignment vertical="center"/>
    </xf>
    <xf numFmtId="177" fontId="6" fillId="33" borderId="0" xfId="0" applyNumberFormat="1" applyFont="1" applyFill="1" applyBorder="1" applyAlignment="1" quotePrefix="1">
      <alignment vertical="center"/>
    </xf>
    <xf numFmtId="177" fontId="7" fillId="33" borderId="0" xfId="0" applyNumberFormat="1" applyFont="1" applyFill="1" applyBorder="1" applyAlignment="1">
      <alignment horizontal="distributed" vertical="center" shrinkToFit="1"/>
    </xf>
    <xf numFmtId="177" fontId="7" fillId="33" borderId="11" xfId="0" applyNumberFormat="1" applyFont="1" applyFill="1" applyBorder="1" applyAlignment="1">
      <alignment horizontal="distributed" vertical="center" shrinkToFit="1"/>
    </xf>
    <xf numFmtId="0" fontId="4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41" fillId="0" borderId="0" xfId="63" applyFont="1" applyFill="1" applyAlignment="1">
      <alignment horizontal="left" vertical="center"/>
      <protection/>
    </xf>
    <xf numFmtId="0" fontId="31" fillId="0" borderId="0" xfId="63" applyFill="1" applyAlignment="1">
      <alignment/>
      <protection/>
    </xf>
    <xf numFmtId="0" fontId="41" fillId="0" borderId="0" xfId="63" applyFont="1" applyFill="1" applyAlignment="1">
      <alignment horizontal="right" vertical="center"/>
      <protection/>
    </xf>
    <xf numFmtId="41" fontId="42" fillId="6" borderId="65" xfId="48" applyFont="1" applyFill="1" applyBorder="1" applyAlignment="1">
      <alignment horizontal="center" vertical="center"/>
    </xf>
    <xf numFmtId="41" fontId="41" fillId="7" borderId="29" xfId="48" applyFont="1" applyFill="1" applyBorder="1" applyAlignment="1">
      <alignment horizontal="right" vertical="center"/>
    </xf>
    <xf numFmtId="41" fontId="41" fillId="7" borderId="29" xfId="48" applyFont="1" applyFill="1" applyBorder="1" applyAlignment="1">
      <alignment horizontal="center" vertical="center"/>
    </xf>
    <xf numFmtId="41" fontId="41" fillId="33" borderId="29" xfId="48" applyFont="1" applyFill="1" applyBorder="1" applyAlignment="1">
      <alignment horizontal="right" vertical="center"/>
    </xf>
    <xf numFmtId="41" fontId="41" fillId="33" borderId="29" xfId="48" applyFont="1" applyFill="1" applyBorder="1" applyAlignment="1">
      <alignment horizontal="center" vertical="center"/>
    </xf>
    <xf numFmtId="41" fontId="43" fillId="0" borderId="29" xfId="48" applyFont="1" applyFill="1" applyBorder="1" applyAlignment="1">
      <alignment horizontal="right" vertical="center"/>
    </xf>
    <xf numFmtId="41" fontId="43" fillId="0" borderId="29" xfId="48" applyFont="1" applyFill="1" applyBorder="1" applyAlignment="1">
      <alignment horizontal="center" vertical="center"/>
    </xf>
    <xf numFmtId="41" fontId="41" fillId="0" borderId="29" xfId="48" applyFont="1" applyFill="1" applyBorder="1" applyAlignment="1">
      <alignment horizontal="right" vertical="center"/>
    </xf>
    <xf numFmtId="41" fontId="41" fillId="0" borderId="29" xfId="48" applyFont="1" applyFill="1" applyBorder="1" applyAlignment="1">
      <alignment horizontal="center" vertical="center"/>
    </xf>
    <xf numFmtId="41" fontId="43" fillId="0" borderId="29" xfId="48" applyFont="1" applyFill="1" applyBorder="1" applyAlignment="1">
      <alignment horizontal="distributed" vertical="center"/>
    </xf>
    <xf numFmtId="41" fontId="41" fillId="6" borderId="65" xfId="48" applyFont="1" applyFill="1" applyBorder="1" applyAlignment="1">
      <alignment horizontal="right" vertical="center"/>
    </xf>
    <xf numFmtId="41" fontId="31" fillId="0" borderId="0" xfId="48" applyFont="1" applyFill="1" applyAlignment="1">
      <alignment/>
    </xf>
    <xf numFmtId="41" fontId="96" fillId="0" borderId="29" xfId="48" applyFont="1" applyFill="1" applyBorder="1" applyAlignment="1">
      <alignment horizontal="right" vertical="center"/>
    </xf>
    <xf numFmtId="41" fontId="96" fillId="0" borderId="29" xfId="48" applyFont="1" applyFill="1" applyBorder="1" applyAlignment="1">
      <alignment horizontal="center" vertical="center"/>
    </xf>
    <xf numFmtId="0" fontId="95" fillId="0" borderId="0" xfId="0" applyFont="1" applyAlignment="1">
      <alignment/>
    </xf>
    <xf numFmtId="177" fontId="96" fillId="0" borderId="29" xfId="48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0" fillId="3" borderId="15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193" fontId="0" fillId="3" borderId="0" xfId="0" applyNumberFormat="1" applyFill="1" applyBorder="1" applyAlignment="1" quotePrefix="1">
      <alignment horizontal="center" vertical="center"/>
    </xf>
    <xf numFmtId="0" fontId="7" fillId="3" borderId="0" xfId="0" applyFont="1" applyFill="1" applyBorder="1" applyAlignment="1">
      <alignment horizontal="distributed" vertical="center" shrinkToFit="1"/>
    </xf>
    <xf numFmtId="0" fontId="7" fillId="3" borderId="11" xfId="0" applyFont="1" applyFill="1" applyBorder="1" applyAlignment="1">
      <alignment horizontal="distributed" vertical="center" shrinkToFit="1"/>
    </xf>
    <xf numFmtId="182" fontId="12" fillId="3" borderId="11" xfId="0" applyNumberFormat="1" applyFont="1" applyFill="1" applyBorder="1" applyAlignment="1">
      <alignment vertical="center"/>
    </xf>
    <xf numFmtId="182" fontId="12" fillId="3" borderId="11" xfId="0" applyNumberFormat="1" applyFont="1" applyFill="1" applyBorder="1" applyAlignment="1">
      <alignment vertical="center"/>
    </xf>
    <xf numFmtId="182" fontId="12" fillId="3" borderId="0" xfId="0" applyNumberFormat="1" applyFont="1" applyFill="1" applyBorder="1" applyAlignment="1">
      <alignment vertical="center"/>
    </xf>
    <xf numFmtId="182" fontId="12" fillId="3" borderId="28" xfId="0" applyNumberFormat="1" applyFont="1" applyFill="1" applyBorder="1" applyAlignment="1">
      <alignment vertical="center"/>
    </xf>
    <xf numFmtId="182" fontId="29" fillId="3" borderId="49" xfId="0" applyNumberFormat="1" applyFont="1" applyFill="1" applyBorder="1" applyAlignment="1">
      <alignment vertical="center"/>
    </xf>
    <xf numFmtId="0" fontId="0" fillId="3" borderId="0" xfId="0" applyFill="1" applyAlignment="1">
      <alignment/>
    </xf>
    <xf numFmtId="0" fontId="0" fillId="3" borderId="21" xfId="0" applyFont="1" applyFill="1" applyBorder="1" applyAlignment="1">
      <alignment/>
    </xf>
    <xf numFmtId="0" fontId="15" fillId="3" borderId="0" xfId="0" applyFont="1" applyFill="1" applyBorder="1" applyAlignment="1">
      <alignment horizontal="distributed" vertical="center"/>
    </xf>
    <xf numFmtId="0" fontId="26" fillId="3" borderId="11" xfId="0" applyFont="1" applyFill="1" applyBorder="1" applyAlignment="1">
      <alignment horizontal="center" vertical="center"/>
    </xf>
    <xf numFmtId="3" fontId="26" fillId="3" borderId="28" xfId="0" applyNumberFormat="1" applyFont="1" applyFill="1" applyBorder="1" applyAlignment="1">
      <alignment horizontal="right" vertical="center"/>
    </xf>
    <xf numFmtId="0" fontId="26" fillId="3" borderId="28" xfId="0" applyFont="1" applyFill="1" applyBorder="1" applyAlignment="1">
      <alignment horizontal="right" vertical="center"/>
    </xf>
    <xf numFmtId="193" fontId="6" fillId="3" borderId="0" xfId="0" applyNumberFormat="1" applyFont="1" applyFill="1" applyBorder="1" applyAlignment="1" quotePrefix="1">
      <alignment horizontal="center" vertical="center"/>
    </xf>
    <xf numFmtId="182" fontId="12" fillId="3" borderId="49" xfId="0" applyNumberFormat="1" applyFont="1" applyFill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7" fillId="0" borderId="3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2" fontId="22" fillId="0" borderId="21" xfId="0" applyNumberFormat="1" applyFont="1" applyFill="1" applyBorder="1" applyAlignment="1">
      <alignment vertical="center"/>
    </xf>
    <xf numFmtId="182" fontId="29" fillId="0" borderId="19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182" fontId="19" fillId="0" borderId="21" xfId="0" applyNumberFormat="1" applyFont="1" applyFill="1" applyBorder="1" applyAlignment="1">
      <alignment vertical="center"/>
    </xf>
    <xf numFmtId="182" fontId="12" fillId="0" borderId="19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horizontal="distributed" vertical="center" shrinkToFit="1"/>
    </xf>
    <xf numFmtId="0" fontId="23" fillId="0" borderId="11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41" fontId="22" fillId="0" borderId="0" xfId="48" applyFont="1" applyFill="1" applyBorder="1" applyAlignment="1">
      <alignment vertical="center"/>
    </xf>
    <xf numFmtId="196" fontId="22" fillId="0" borderId="11" xfId="0" applyNumberFormat="1" applyFont="1" applyFill="1" applyBorder="1" applyAlignment="1">
      <alignment vertical="center"/>
    </xf>
    <xf numFmtId="196" fontId="22" fillId="0" borderId="0" xfId="0" applyNumberFormat="1" applyFont="1" applyFill="1" applyBorder="1" applyAlignment="1">
      <alignment vertical="center"/>
    </xf>
    <xf numFmtId="196" fontId="12" fillId="0" borderId="19" xfId="0" applyNumberFormat="1" applyFont="1" applyFill="1" applyBorder="1" applyAlignment="1">
      <alignment vertical="center"/>
    </xf>
    <xf numFmtId="182" fontId="97" fillId="33" borderId="0" xfId="0" applyNumberFormat="1" applyFont="1" applyFill="1" applyBorder="1" applyAlignment="1">
      <alignment vertical="center"/>
    </xf>
    <xf numFmtId="182" fontId="19" fillId="0" borderId="22" xfId="0" applyNumberFormat="1" applyFont="1" applyFill="1" applyBorder="1" applyAlignment="1">
      <alignment vertical="center"/>
    </xf>
    <xf numFmtId="0" fontId="21" fillId="0" borderId="11" xfId="0" applyFont="1" applyFill="1" applyBorder="1" applyAlignment="1">
      <alignment horizontal="distributed" vertical="center" shrinkToFit="1"/>
    </xf>
    <xf numFmtId="0" fontId="21" fillId="0" borderId="0" xfId="0" applyFont="1" applyFill="1" applyBorder="1" applyAlignment="1">
      <alignment horizontal="distributed" vertical="center" shrinkToFit="1"/>
    </xf>
    <xf numFmtId="177" fontId="22" fillId="0" borderId="0" xfId="48" applyNumberFormat="1" applyFont="1" applyFill="1" applyBorder="1" applyAlignment="1">
      <alignment vertical="center"/>
    </xf>
    <xf numFmtId="0" fontId="7" fillId="0" borderId="0" xfId="0" applyFont="1" applyFill="1" applyBorder="1" applyAlignment="1" quotePrefix="1">
      <alignment horizontal="distributed" vertical="center"/>
    </xf>
    <xf numFmtId="0" fontId="45" fillId="0" borderId="0" xfId="0" applyFont="1" applyFill="1" applyBorder="1" applyAlignment="1">
      <alignment horizontal="distributed" vertical="center"/>
    </xf>
    <xf numFmtId="182" fontId="22" fillId="0" borderId="23" xfId="0" applyNumberFormat="1" applyFont="1" applyFill="1" applyBorder="1" applyAlignment="1">
      <alignment vertical="center"/>
    </xf>
    <xf numFmtId="41" fontId="12" fillId="0" borderId="17" xfId="0" applyNumberFormat="1" applyFont="1" applyFill="1" applyBorder="1" applyAlignment="1">
      <alignment vertical="center"/>
    </xf>
    <xf numFmtId="41" fontId="12" fillId="0" borderId="18" xfId="0" applyNumberFormat="1" applyFont="1" applyFill="1" applyBorder="1" applyAlignment="1">
      <alignment vertical="center"/>
    </xf>
    <xf numFmtId="41" fontId="12" fillId="0" borderId="26" xfId="0" applyNumberFormat="1" applyFont="1" applyFill="1" applyBorder="1" applyAlignment="1">
      <alignment vertical="center"/>
    </xf>
    <xf numFmtId="41" fontId="12" fillId="0" borderId="27" xfId="0" applyNumberFormat="1" applyFont="1" applyFill="1" applyBorder="1" applyAlignment="1">
      <alignment vertical="center"/>
    </xf>
    <xf numFmtId="41" fontId="12" fillId="0" borderId="20" xfId="0" applyNumberFormat="1" applyFont="1" applyFill="1" applyBorder="1" applyAlignment="1">
      <alignment vertical="center"/>
    </xf>
    <xf numFmtId="41" fontId="16" fillId="0" borderId="0" xfId="0" applyNumberFormat="1" applyFont="1" applyFill="1" applyBorder="1" applyAlignment="1">
      <alignment horizontal="center"/>
    </xf>
    <xf numFmtId="41" fontId="0" fillId="0" borderId="0" xfId="0" applyNumberFormat="1" applyFill="1" applyAlignment="1">
      <alignment/>
    </xf>
    <xf numFmtId="177" fontId="27" fillId="0" borderId="28" xfId="0" applyNumberFormat="1" applyFont="1" applyFill="1" applyBorder="1" applyAlignment="1">
      <alignment horizontal="right" vertical="center"/>
    </xf>
    <xf numFmtId="177" fontId="92" fillId="33" borderId="28" xfId="0" applyNumberFormat="1" applyFont="1" applyFill="1" applyBorder="1" applyAlignment="1">
      <alignment horizontal="right" vertical="center"/>
    </xf>
    <xf numFmtId="177" fontId="27" fillId="0" borderId="29" xfId="0" applyNumberFormat="1" applyFont="1" applyFill="1" applyBorder="1" applyAlignment="1">
      <alignment horizontal="right" vertical="center"/>
    </xf>
    <xf numFmtId="182" fontId="19" fillId="33" borderId="0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distributed" vertical="center" indent="2"/>
    </xf>
    <xf numFmtId="0" fontId="4" fillId="33" borderId="17" xfId="0" applyFont="1" applyFill="1" applyBorder="1" applyAlignment="1">
      <alignment horizontal="distributed" vertical="center" indent="2"/>
    </xf>
    <xf numFmtId="0" fontId="4" fillId="33" borderId="66" xfId="0" applyFont="1" applyFill="1" applyBorder="1" applyAlignment="1">
      <alignment horizontal="distributed" vertical="center" indent="2"/>
    </xf>
    <xf numFmtId="0" fontId="21" fillId="0" borderId="0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41" fontId="16" fillId="0" borderId="0" xfId="0" applyNumberFormat="1" applyFont="1" applyBorder="1" applyAlignment="1">
      <alignment horizontal="center" vertical="center"/>
    </xf>
    <xf numFmtId="177" fontId="8" fillId="0" borderId="0" xfId="0" applyNumberFormat="1" applyFont="1" applyFill="1" applyAlignment="1">
      <alignment horizontal="center"/>
    </xf>
    <xf numFmtId="177" fontId="10" fillId="0" borderId="0" xfId="0" applyNumberFormat="1" applyFont="1" applyFill="1" applyAlignment="1">
      <alignment horizontal="center"/>
    </xf>
    <xf numFmtId="177" fontId="23" fillId="0" borderId="41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33" borderId="13" xfId="0" applyFont="1" applyFill="1" applyBorder="1" applyAlignment="1">
      <alignment horizontal="distributed" vertical="center"/>
    </xf>
    <xf numFmtId="0" fontId="4" fillId="33" borderId="17" xfId="0" applyFont="1" applyFill="1" applyBorder="1" applyAlignment="1">
      <alignment horizontal="distributed" vertical="center"/>
    </xf>
    <xf numFmtId="0" fontId="4" fillId="33" borderId="37" xfId="0" applyFont="1" applyFill="1" applyBorder="1" applyAlignment="1">
      <alignment horizontal="center" vertical="center"/>
    </xf>
    <xf numFmtId="41" fontId="16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7" fillId="33" borderId="13" xfId="0" applyFont="1" applyFill="1" applyBorder="1" applyAlignment="1">
      <alignment horizontal="distributed" vertical="center"/>
    </xf>
    <xf numFmtId="0" fontId="7" fillId="33" borderId="17" xfId="0" applyFont="1" applyFill="1" applyBorder="1" applyAlignment="1">
      <alignment horizontal="distributed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1" fillId="33" borderId="48" xfId="0" applyFont="1" applyFill="1" applyBorder="1" applyAlignment="1">
      <alignment horizontal="center" vertical="center"/>
    </xf>
    <xf numFmtId="0" fontId="21" fillId="33" borderId="6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41" fontId="7" fillId="0" borderId="0" xfId="0" applyNumberFormat="1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67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left" vertical="center"/>
    </xf>
    <xf numFmtId="0" fontId="92" fillId="33" borderId="21" xfId="0" applyFont="1" applyFill="1" applyBorder="1" applyAlignment="1">
      <alignment horizontal="left" vertical="center"/>
    </xf>
    <xf numFmtId="0" fontId="92" fillId="33" borderId="0" xfId="0" applyFont="1" applyFill="1" applyBorder="1" applyAlignment="1">
      <alignment horizontal="left" vertical="center"/>
    </xf>
    <xf numFmtId="0" fontId="92" fillId="33" borderId="11" xfId="0" applyFont="1" applyFill="1" applyBorder="1" applyAlignment="1">
      <alignment horizontal="left" vertical="center"/>
    </xf>
    <xf numFmtId="0" fontId="27" fillId="0" borderId="68" xfId="0" applyFont="1" applyFill="1" applyBorder="1" applyAlignment="1">
      <alignment horizontal="left" vertical="center"/>
    </xf>
    <xf numFmtId="0" fontId="27" fillId="0" borderId="22" xfId="0" applyFont="1" applyFill="1" applyBorder="1" applyAlignment="1">
      <alignment horizontal="left" vertical="center"/>
    </xf>
    <xf numFmtId="0" fontId="27" fillId="0" borderId="55" xfId="0" applyFont="1" applyFill="1" applyBorder="1" applyAlignment="1">
      <alignment horizontal="left" vertical="center"/>
    </xf>
    <xf numFmtId="0" fontId="30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34" borderId="59" xfId="0" applyFont="1" applyFill="1" applyBorder="1" applyAlignment="1">
      <alignment horizontal="center" vertical="center"/>
    </xf>
    <xf numFmtId="0" fontId="27" fillId="34" borderId="69" xfId="0" applyFont="1" applyFill="1" applyBorder="1" applyAlignment="1">
      <alignment horizontal="center" vertical="center"/>
    </xf>
    <xf numFmtId="0" fontId="27" fillId="34" borderId="60" xfId="0" applyFont="1" applyFill="1" applyBorder="1" applyAlignment="1">
      <alignment horizontal="center" vertical="center"/>
    </xf>
    <xf numFmtId="0" fontId="27" fillId="34" borderId="68" xfId="0" applyFont="1" applyFill="1" applyBorder="1" applyAlignment="1">
      <alignment horizontal="center" vertical="center"/>
    </xf>
    <xf numFmtId="0" fontId="27" fillId="34" borderId="22" xfId="0" applyFont="1" applyFill="1" applyBorder="1" applyAlignment="1">
      <alignment horizontal="center" vertical="center"/>
    </xf>
    <xf numFmtId="0" fontId="27" fillId="34" borderId="55" xfId="0" applyFont="1" applyFill="1" applyBorder="1" applyAlignment="1">
      <alignment horizontal="center" vertical="center"/>
    </xf>
    <xf numFmtId="0" fontId="27" fillId="34" borderId="6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distributed" vertical="center" wrapText="1"/>
    </xf>
    <xf numFmtId="41" fontId="16" fillId="0" borderId="0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distributed" vertical="center"/>
    </xf>
    <xf numFmtId="0" fontId="40" fillId="0" borderId="0" xfId="0" applyFont="1" applyFill="1" applyAlignment="1">
      <alignment horizontal="center" vertical="center"/>
    </xf>
    <xf numFmtId="0" fontId="41" fillId="0" borderId="0" xfId="63" applyFont="1" applyFill="1" applyAlignment="1">
      <alignment horizontal="center" vertical="center"/>
      <protection/>
    </xf>
    <xf numFmtId="41" fontId="42" fillId="6" borderId="65" xfId="48" applyFont="1" applyFill="1" applyBorder="1" applyAlignment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  <cellStyle name="합계" xfId="65"/>
  </cellStyles>
  <dxfs count="4">
    <dxf>
      <font>
        <color indexed="9"/>
      </font>
      <fill>
        <patternFill>
          <bgColor indexed="35"/>
        </patternFill>
      </fill>
    </dxf>
    <dxf>
      <font>
        <color indexed="9"/>
      </font>
      <fill>
        <patternFill>
          <bgColor indexed="14"/>
        </patternFill>
      </fill>
    </dxf>
    <dxf>
      <font>
        <color rgb="FFFFFFFF"/>
      </font>
      <fill>
        <patternFill>
          <bgColor rgb="FFFF00FF"/>
        </patternFill>
      </fill>
      <border/>
    </dxf>
    <dxf>
      <font>
        <color rgb="FFFFFFFF"/>
      </font>
      <fill>
        <patternFill>
          <bgColor rgb="FF00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R94"/>
  <sheetViews>
    <sheetView tabSelected="1" zoomScale="106" zoomScaleNormal="106" zoomScalePageLayoutView="0" workbookViewId="0" topLeftCell="A1">
      <pane ySplit="8" topLeftCell="A9" activePane="bottomLeft" state="frozen"/>
      <selection pane="topLeft" activeCell="Q66" sqref="Q66"/>
      <selection pane="bottomLeft" activeCell="I26" sqref="I26"/>
    </sheetView>
  </sheetViews>
  <sheetFormatPr defaultColWidth="8.88671875" defaultRowHeight="19.5" customHeight="1"/>
  <cols>
    <col min="1" max="1" width="2.6640625" style="0" customWidth="1"/>
    <col min="2" max="2" width="3.21484375" style="0" customWidth="1"/>
    <col min="3" max="3" width="19.4453125" style="0" customWidth="1"/>
    <col min="4" max="4" width="3.5546875" style="5" customWidth="1"/>
    <col min="5" max="5" width="0.78125" style="0" customWidth="1"/>
    <col min="6" max="6" width="11.77734375" style="0" customWidth="1"/>
    <col min="7" max="8" width="0.78125" style="0" customWidth="1"/>
    <col min="9" max="9" width="11.77734375" style="0" customWidth="1"/>
    <col min="10" max="11" width="0.78125" style="0" customWidth="1"/>
    <col min="12" max="12" width="11.77734375" style="0" customWidth="1"/>
    <col min="13" max="14" width="0.78125" style="0" customWidth="1"/>
    <col min="15" max="15" width="11.77734375" style="0" customWidth="1"/>
    <col min="16" max="16" width="0.78125" style="0" customWidth="1"/>
  </cols>
  <sheetData>
    <row r="1" spans="1:15" ht="27.75" customHeight="1">
      <c r="A1" s="477" t="s">
        <v>265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</row>
    <row r="2" ht="7.5" customHeight="1"/>
    <row r="3" spans="1:15" ht="15" customHeight="1">
      <c r="A3" s="478" t="s">
        <v>412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</row>
    <row r="4" spans="1:15" ht="15" customHeight="1">
      <c r="A4" s="478" t="s">
        <v>268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</row>
    <row r="5" spans="1:16" ht="20.25" customHeight="1" thickBot="1">
      <c r="A5" s="37" t="s">
        <v>38</v>
      </c>
      <c r="B5" s="38"/>
      <c r="C5" s="38"/>
      <c r="D5" s="73"/>
      <c r="E5" s="38"/>
      <c r="F5" s="38"/>
      <c r="G5" s="38"/>
      <c r="H5" s="38"/>
      <c r="I5" s="38"/>
      <c r="J5" s="38"/>
      <c r="K5" s="38"/>
      <c r="L5" s="38"/>
      <c r="M5" s="38"/>
      <c r="N5" s="38"/>
      <c r="O5" s="479" t="s">
        <v>30</v>
      </c>
      <c r="P5" s="479"/>
    </row>
    <row r="6" spans="1:16" ht="16.5" customHeight="1">
      <c r="A6" s="480" t="s">
        <v>105</v>
      </c>
      <c r="B6" s="481"/>
      <c r="C6" s="481"/>
      <c r="D6" s="482"/>
      <c r="E6" s="180"/>
      <c r="F6" s="486" t="s">
        <v>269</v>
      </c>
      <c r="G6" s="486"/>
      <c r="H6" s="486"/>
      <c r="I6" s="486"/>
      <c r="J6" s="181"/>
      <c r="K6" s="211"/>
      <c r="L6" s="486" t="s">
        <v>270</v>
      </c>
      <c r="M6" s="486"/>
      <c r="N6" s="486"/>
      <c r="O6" s="486"/>
      <c r="P6" s="183"/>
    </row>
    <row r="7" spans="1:16" ht="16.5" customHeight="1" thickBot="1">
      <c r="A7" s="483"/>
      <c r="B7" s="484"/>
      <c r="C7" s="484"/>
      <c r="D7" s="485"/>
      <c r="E7" s="210"/>
      <c r="F7" s="487" t="s">
        <v>106</v>
      </c>
      <c r="G7" s="487"/>
      <c r="H7" s="487"/>
      <c r="I7" s="487"/>
      <c r="J7" s="182"/>
      <c r="K7" s="212"/>
      <c r="L7" s="488" t="s">
        <v>106</v>
      </c>
      <c r="M7" s="488"/>
      <c r="N7" s="488"/>
      <c r="O7" s="488"/>
      <c r="P7" s="184"/>
    </row>
    <row r="8" spans="1:16" ht="6.75" customHeight="1">
      <c r="A8" s="16"/>
      <c r="B8" s="17"/>
      <c r="C8" s="17"/>
      <c r="D8" s="74"/>
      <c r="E8" s="17"/>
      <c r="F8" s="59"/>
      <c r="G8" s="59"/>
      <c r="H8" s="60"/>
      <c r="I8" s="59"/>
      <c r="J8" s="61"/>
      <c r="K8" s="59"/>
      <c r="L8" s="62"/>
      <c r="M8" s="62"/>
      <c r="N8" s="63"/>
      <c r="O8" s="62"/>
      <c r="P8" s="33"/>
    </row>
    <row r="9" spans="1:16" ht="17.25" customHeight="1">
      <c r="A9" s="19"/>
      <c r="B9" s="489" t="s">
        <v>31</v>
      </c>
      <c r="C9" s="489"/>
      <c r="D9" s="75"/>
      <c r="E9" s="14"/>
      <c r="F9" s="106"/>
      <c r="G9" s="106"/>
      <c r="H9" s="107"/>
      <c r="I9" s="106"/>
      <c r="J9" s="108"/>
      <c r="K9" s="106"/>
      <c r="L9" s="106"/>
      <c r="M9" s="106"/>
      <c r="N9" s="107"/>
      <c r="O9" s="106"/>
      <c r="P9" s="33"/>
    </row>
    <row r="10" spans="1:18" ht="17.25" customHeight="1">
      <c r="A10" s="45" t="s">
        <v>0</v>
      </c>
      <c r="B10" s="489" t="s">
        <v>14</v>
      </c>
      <c r="C10" s="489"/>
      <c r="D10" s="105"/>
      <c r="E10" s="47"/>
      <c r="F10" s="200"/>
      <c r="G10" s="200"/>
      <c r="H10" s="201"/>
      <c r="I10" s="126">
        <f>+I11+I23</f>
        <v>72137045026</v>
      </c>
      <c r="J10" s="127"/>
      <c r="K10" s="126"/>
      <c r="L10" s="200"/>
      <c r="M10" s="200"/>
      <c r="N10" s="201"/>
      <c r="O10" s="126">
        <f>+O11+O23</f>
        <v>21394880118</v>
      </c>
      <c r="P10" s="202"/>
      <c r="Q10" s="131"/>
      <c r="R10" s="131"/>
    </row>
    <row r="11" spans="1:18" ht="17.25" customHeight="1">
      <c r="A11" s="19"/>
      <c r="B11" s="12" t="s">
        <v>4</v>
      </c>
      <c r="C11" s="9" t="s">
        <v>90</v>
      </c>
      <c r="D11" s="76"/>
      <c r="E11" s="13"/>
      <c r="F11" s="207"/>
      <c r="G11" s="207"/>
      <c r="H11" s="208"/>
      <c r="I11" s="205">
        <f>SUM(I12:I22)</f>
        <v>71290494630</v>
      </c>
      <c r="J11" s="206"/>
      <c r="K11" s="205"/>
      <c r="L11" s="207"/>
      <c r="M11" s="207"/>
      <c r="N11" s="208"/>
      <c r="O11" s="205">
        <v>21075399919</v>
      </c>
      <c r="P11" s="202"/>
      <c r="Q11" s="131"/>
      <c r="R11" s="131"/>
    </row>
    <row r="12" spans="1:18" ht="18.75" customHeight="1">
      <c r="A12" s="19"/>
      <c r="B12" s="130">
        <v>1</v>
      </c>
      <c r="C12" s="9" t="s">
        <v>168</v>
      </c>
      <c r="D12" s="76"/>
      <c r="E12" s="9"/>
      <c r="F12" s="203"/>
      <c r="G12" s="203"/>
      <c r="H12" s="204"/>
      <c r="I12" s="96">
        <f>+'재무상태표-사이트별(2018.12.31)'!R8+'재무상태표-사이트별(2018.12.31)'!R9-I13-I29</f>
        <v>16670199503</v>
      </c>
      <c r="J12" s="97"/>
      <c r="K12" s="96"/>
      <c r="L12" s="203"/>
      <c r="M12" s="203"/>
      <c r="N12" s="204"/>
      <c r="O12" s="96">
        <v>17515675257</v>
      </c>
      <c r="P12" s="202"/>
      <c r="Q12" s="131"/>
      <c r="R12" s="131"/>
    </row>
    <row r="13" spans="1:18" ht="18.75" customHeight="1">
      <c r="A13" s="19"/>
      <c r="B13" s="130">
        <v>2</v>
      </c>
      <c r="C13" s="9" t="s">
        <v>169</v>
      </c>
      <c r="D13" s="76"/>
      <c r="E13" s="9"/>
      <c r="F13" s="203"/>
      <c r="G13" s="203"/>
      <c r="H13" s="204"/>
      <c r="I13" s="96">
        <v>1761365000</v>
      </c>
      <c r="J13" s="97"/>
      <c r="K13" s="96"/>
      <c r="L13" s="203"/>
      <c r="M13" s="203"/>
      <c r="N13" s="204"/>
      <c r="O13" s="96">
        <v>1761365000</v>
      </c>
      <c r="P13" s="202"/>
      <c r="Q13" s="131"/>
      <c r="R13" s="131"/>
    </row>
    <row r="14" spans="1:18" ht="18.75" customHeight="1">
      <c r="A14" s="19"/>
      <c r="B14" s="130">
        <v>3</v>
      </c>
      <c r="C14" s="9" t="s">
        <v>170</v>
      </c>
      <c r="D14" s="76"/>
      <c r="E14" s="9"/>
      <c r="F14" s="203"/>
      <c r="G14" s="203"/>
      <c r="H14" s="204"/>
      <c r="I14" s="96">
        <f>+'재무상태표-사이트별(2018.12.31)'!R11</f>
        <v>270266269</v>
      </c>
      <c r="J14" s="97"/>
      <c r="K14" s="96"/>
      <c r="L14" s="203"/>
      <c r="M14" s="203"/>
      <c r="N14" s="204"/>
      <c r="O14" s="96">
        <v>440021808</v>
      </c>
      <c r="P14" s="202"/>
      <c r="Q14" s="131"/>
      <c r="R14" s="131"/>
    </row>
    <row r="15" spans="1:18" ht="18.75" customHeight="1">
      <c r="A15" s="19"/>
      <c r="B15" s="130">
        <v>4</v>
      </c>
      <c r="C15" s="9" t="s">
        <v>2</v>
      </c>
      <c r="D15" s="76"/>
      <c r="E15" s="9"/>
      <c r="F15" s="203"/>
      <c r="G15" s="203"/>
      <c r="H15" s="204"/>
      <c r="I15" s="96">
        <f>+'재무상태표-사이트별(2018.12.31)'!R12</f>
        <v>448709930</v>
      </c>
      <c r="J15" s="97"/>
      <c r="K15" s="96"/>
      <c r="L15" s="203"/>
      <c r="M15" s="203"/>
      <c r="N15" s="204"/>
      <c r="O15" s="96">
        <v>564624765</v>
      </c>
      <c r="P15" s="202"/>
      <c r="Q15" s="131"/>
      <c r="R15" s="131"/>
    </row>
    <row r="16" spans="1:18" ht="18.75" customHeight="1">
      <c r="A16" s="19"/>
      <c r="B16" s="130">
        <v>5</v>
      </c>
      <c r="C16" s="9" t="s">
        <v>57</v>
      </c>
      <c r="D16" s="76"/>
      <c r="E16" s="9"/>
      <c r="F16" s="203"/>
      <c r="G16" s="203"/>
      <c r="H16" s="204"/>
      <c r="I16" s="96">
        <f>+'재무상태표-사이트별(2018.12.31)'!R13+'재무상태표-사이트별(2018.12.31)'!R14+'재무상태표-사이트별(2018.12.31)'!R15+'재무상태표-사이트별(2018.12.31)'!R16</f>
        <v>122267700</v>
      </c>
      <c r="J16" s="97"/>
      <c r="K16" s="96"/>
      <c r="L16" s="203"/>
      <c r="M16" s="203"/>
      <c r="N16" s="204"/>
      <c r="O16" s="96">
        <v>151982829</v>
      </c>
      <c r="P16" s="202"/>
      <c r="Q16" s="131"/>
      <c r="R16" s="131"/>
    </row>
    <row r="17" spans="1:18" ht="18.75" customHeight="1">
      <c r="A17" s="19"/>
      <c r="B17" s="130">
        <v>6</v>
      </c>
      <c r="C17" s="9" t="s">
        <v>164</v>
      </c>
      <c r="D17" s="76"/>
      <c r="E17" s="9"/>
      <c r="F17" s="203"/>
      <c r="G17" s="203"/>
      <c r="H17" s="204"/>
      <c r="I17" s="96">
        <f>+'재무상태표-사이트별(2018.12.31)'!R17</f>
        <v>0</v>
      </c>
      <c r="J17" s="97"/>
      <c r="K17" s="96"/>
      <c r="L17" s="203"/>
      <c r="M17" s="203"/>
      <c r="N17" s="204"/>
      <c r="O17" s="96">
        <v>1314635</v>
      </c>
      <c r="P17" s="202"/>
      <c r="Q17" s="131"/>
      <c r="R17" s="131"/>
    </row>
    <row r="18" spans="1:18" ht="18.75" customHeight="1">
      <c r="A18" s="19"/>
      <c r="B18" s="130">
        <v>7</v>
      </c>
      <c r="C18" s="9" t="s">
        <v>183</v>
      </c>
      <c r="D18" s="76"/>
      <c r="E18" s="9"/>
      <c r="F18" s="203"/>
      <c r="G18" s="203"/>
      <c r="H18" s="204"/>
      <c r="I18" s="96">
        <f>+'재무상태표-사이트별(2018.12.31)'!R18</f>
        <v>21804724</v>
      </c>
      <c r="J18" s="97"/>
      <c r="K18" s="96"/>
      <c r="L18" s="203"/>
      <c r="M18" s="203"/>
      <c r="N18" s="204"/>
      <c r="O18" s="96">
        <v>19814745</v>
      </c>
      <c r="P18" s="202"/>
      <c r="Q18" s="131"/>
      <c r="R18" s="131"/>
    </row>
    <row r="19" spans="1:18" ht="18.75" customHeight="1">
      <c r="A19" s="19"/>
      <c r="B19" s="130">
        <v>8</v>
      </c>
      <c r="C19" s="9" t="s">
        <v>171</v>
      </c>
      <c r="D19" s="76"/>
      <c r="E19" s="9"/>
      <c r="F19" s="203"/>
      <c r="G19" s="203"/>
      <c r="H19" s="204"/>
      <c r="I19" s="96">
        <f>+'재무상태표-사이트별(2018.12.31)'!R21</f>
        <v>569046130</v>
      </c>
      <c r="J19" s="97"/>
      <c r="K19" s="96"/>
      <c r="L19" s="203"/>
      <c r="M19" s="203"/>
      <c r="N19" s="204"/>
      <c r="O19" s="96">
        <v>564184220</v>
      </c>
      <c r="P19" s="202"/>
      <c r="Q19" s="131"/>
      <c r="R19" s="131"/>
    </row>
    <row r="20" spans="1:18" ht="18.75" customHeight="1">
      <c r="A20" s="19"/>
      <c r="B20" s="130">
        <v>9</v>
      </c>
      <c r="C20" s="9" t="s">
        <v>196</v>
      </c>
      <c r="D20" s="76"/>
      <c r="E20" s="9"/>
      <c r="F20" s="203"/>
      <c r="G20" s="203"/>
      <c r="H20" s="204"/>
      <c r="I20" s="96">
        <f>+'재무상태표-사이트별(2018.12.31)'!R22</f>
        <v>56903060</v>
      </c>
      <c r="J20" s="97"/>
      <c r="K20" s="96"/>
      <c r="L20" s="203"/>
      <c r="M20" s="203"/>
      <c r="N20" s="204"/>
      <c r="O20" s="96">
        <v>56416660</v>
      </c>
      <c r="P20" s="202"/>
      <c r="Q20" s="131"/>
      <c r="R20" s="131"/>
    </row>
    <row r="21" spans="1:18" ht="18.75" customHeight="1">
      <c r="A21" s="19"/>
      <c r="B21" s="130">
        <v>10</v>
      </c>
      <c r="C21" s="9" t="s">
        <v>446</v>
      </c>
      <c r="D21" s="76"/>
      <c r="E21" s="9"/>
      <c r="F21" s="203"/>
      <c r="G21" s="203"/>
      <c r="H21" s="204"/>
      <c r="I21" s="96">
        <f>+'재무상태표-사이트별(2018.12.31)'!R23</f>
        <v>51369932314</v>
      </c>
      <c r="J21" s="97"/>
      <c r="K21" s="96"/>
      <c r="L21" s="203"/>
      <c r="M21" s="203"/>
      <c r="N21" s="204"/>
      <c r="O21" s="96"/>
      <c r="P21" s="202"/>
      <c r="Q21" s="131"/>
      <c r="R21" s="131"/>
    </row>
    <row r="22" spans="1:18" ht="18.75" customHeight="1">
      <c r="A22" s="19"/>
      <c r="B22" s="130">
        <v>11</v>
      </c>
      <c r="C22" s="9" t="s">
        <v>46</v>
      </c>
      <c r="D22" s="76"/>
      <c r="E22" s="9"/>
      <c r="F22" s="203"/>
      <c r="G22" s="203"/>
      <c r="H22" s="204"/>
      <c r="I22" s="209">
        <f>+'재무상태표-사이트별(2018.12.31)'!R19</f>
        <v>0</v>
      </c>
      <c r="J22" s="97"/>
      <c r="K22" s="96"/>
      <c r="L22" s="203"/>
      <c r="M22" s="203"/>
      <c r="N22" s="204"/>
      <c r="O22" s="209">
        <v>0</v>
      </c>
      <c r="P22" s="202"/>
      <c r="Q22" s="131"/>
      <c r="R22" s="131"/>
    </row>
    <row r="23" spans="1:18" ht="17.25" customHeight="1">
      <c r="A23" s="19"/>
      <c r="B23" s="12" t="s">
        <v>91</v>
      </c>
      <c r="C23" s="9" t="s">
        <v>92</v>
      </c>
      <c r="D23" s="76"/>
      <c r="E23" s="13"/>
      <c r="F23" s="207"/>
      <c r="G23" s="207"/>
      <c r="H23" s="208"/>
      <c r="I23" s="96">
        <f>SUM(I24:I25)</f>
        <v>846550396</v>
      </c>
      <c r="J23" s="97"/>
      <c r="K23" s="96"/>
      <c r="L23" s="207"/>
      <c r="M23" s="207"/>
      <c r="N23" s="208"/>
      <c r="O23" s="96">
        <v>319480199</v>
      </c>
      <c r="P23" s="202"/>
      <c r="Q23" s="131"/>
      <c r="R23" s="131"/>
    </row>
    <row r="24" spans="1:18" ht="17.25" customHeight="1">
      <c r="A24" s="19"/>
      <c r="B24" s="130">
        <v>1</v>
      </c>
      <c r="C24" s="9" t="s">
        <v>184</v>
      </c>
      <c r="D24" s="76"/>
      <c r="E24" s="13"/>
      <c r="F24" s="207"/>
      <c r="G24" s="207"/>
      <c r="H24" s="208"/>
      <c r="I24" s="96">
        <f>+'재무상태표-사이트별(2018.12.31)'!R25</f>
        <v>380662350</v>
      </c>
      <c r="J24" s="97"/>
      <c r="K24" s="96"/>
      <c r="L24" s="207"/>
      <c r="M24" s="207"/>
      <c r="N24" s="208"/>
      <c r="O24" s="96">
        <v>318332916</v>
      </c>
      <c r="P24" s="202"/>
      <c r="Q24" s="131"/>
      <c r="R24" s="131"/>
    </row>
    <row r="25" spans="1:18" ht="17.25" customHeight="1">
      <c r="A25" s="19"/>
      <c r="B25" s="130">
        <v>2</v>
      </c>
      <c r="C25" s="9" t="s">
        <v>172</v>
      </c>
      <c r="D25" s="76"/>
      <c r="E25" s="9"/>
      <c r="F25" s="203"/>
      <c r="G25" s="203"/>
      <c r="H25" s="204"/>
      <c r="I25" s="96">
        <f>+'재무상태표-사이트별(2018.12.31)'!R26</f>
        <v>465888046</v>
      </c>
      <c r="J25" s="97"/>
      <c r="K25" s="96"/>
      <c r="L25" s="203"/>
      <c r="M25" s="203"/>
      <c r="N25" s="204"/>
      <c r="O25" s="96">
        <v>1147283</v>
      </c>
      <c r="P25" s="202"/>
      <c r="Q25" s="131"/>
      <c r="R25" s="131"/>
    </row>
    <row r="26" spans="1:18" ht="17.25" customHeight="1">
      <c r="A26" s="45" t="s">
        <v>3</v>
      </c>
      <c r="B26" s="489" t="s">
        <v>113</v>
      </c>
      <c r="C26" s="489"/>
      <c r="D26" s="117"/>
      <c r="E26" s="52"/>
      <c r="F26" s="200"/>
      <c r="G26" s="200"/>
      <c r="H26" s="201"/>
      <c r="I26" s="126">
        <f>+I27+I31+I48+I49</f>
        <v>75469058050</v>
      </c>
      <c r="J26" s="127"/>
      <c r="K26" s="126"/>
      <c r="L26" s="200"/>
      <c r="M26" s="200"/>
      <c r="N26" s="201"/>
      <c r="O26" s="126">
        <f>+O27+O31+O48+O49</f>
        <v>125946185245</v>
      </c>
      <c r="P26" s="202"/>
      <c r="Q26" s="131"/>
      <c r="R26" s="131"/>
    </row>
    <row r="27" spans="1:18" ht="17.25" customHeight="1">
      <c r="A27" s="19"/>
      <c r="B27" s="12" t="s">
        <v>4</v>
      </c>
      <c r="C27" s="36" t="s">
        <v>96</v>
      </c>
      <c r="D27" s="76"/>
      <c r="E27" s="13"/>
      <c r="F27" s="207"/>
      <c r="G27" s="207"/>
      <c r="H27" s="208"/>
      <c r="I27" s="205">
        <f>SUM(I28:I30)</f>
        <v>53872761425</v>
      </c>
      <c r="J27" s="206"/>
      <c r="K27" s="205"/>
      <c r="L27" s="207"/>
      <c r="M27" s="207"/>
      <c r="N27" s="208"/>
      <c r="O27" s="205">
        <v>105257553739</v>
      </c>
      <c r="P27" s="202"/>
      <c r="Q27" s="131"/>
      <c r="R27" s="131"/>
    </row>
    <row r="28" spans="1:18" ht="16.5" customHeight="1">
      <c r="A28" s="19"/>
      <c r="B28" s="130">
        <v>1</v>
      </c>
      <c r="C28" s="9" t="s">
        <v>5</v>
      </c>
      <c r="D28" s="76"/>
      <c r="E28" s="9"/>
      <c r="F28" s="203"/>
      <c r="G28" s="203"/>
      <c r="H28" s="204"/>
      <c r="I28" s="96">
        <f>+'재무상태표-사이트별(2018.12.31)'!R29</f>
        <v>53742841425</v>
      </c>
      <c r="J28" s="97"/>
      <c r="K28" s="96"/>
      <c r="L28" s="203"/>
      <c r="M28" s="203"/>
      <c r="N28" s="204"/>
      <c r="O28" s="96">
        <v>105112773739</v>
      </c>
      <c r="P28" s="202"/>
      <c r="Q28" s="131"/>
      <c r="R28" s="131"/>
    </row>
    <row r="29" spans="1:18" ht="16.5" customHeight="1">
      <c r="A29" s="19"/>
      <c r="B29" s="130">
        <v>2</v>
      </c>
      <c r="C29" s="9" t="s">
        <v>189</v>
      </c>
      <c r="D29" s="77"/>
      <c r="E29" s="9"/>
      <c r="F29" s="203"/>
      <c r="G29" s="203"/>
      <c r="H29" s="204"/>
      <c r="I29" s="382"/>
      <c r="J29" s="97"/>
      <c r="K29" s="96"/>
      <c r="L29" s="203"/>
      <c r="M29" s="203"/>
      <c r="N29" s="204"/>
      <c r="O29" s="382"/>
      <c r="P29" s="202"/>
      <c r="Q29" s="131"/>
      <c r="R29" s="131"/>
    </row>
    <row r="30" spans="1:18" ht="16.5" customHeight="1">
      <c r="A30" s="19"/>
      <c r="B30" s="130">
        <v>3</v>
      </c>
      <c r="C30" s="9" t="s">
        <v>190</v>
      </c>
      <c r="D30" s="77"/>
      <c r="E30" s="9"/>
      <c r="F30" s="203"/>
      <c r="G30" s="203"/>
      <c r="H30" s="204"/>
      <c r="I30" s="96">
        <f>+'재무상태표-사이트별(2018.12.31)'!R31</f>
        <v>129920000</v>
      </c>
      <c r="J30" s="97"/>
      <c r="K30" s="96"/>
      <c r="L30" s="203"/>
      <c r="M30" s="203"/>
      <c r="N30" s="204"/>
      <c r="O30" s="96">
        <v>144780000</v>
      </c>
      <c r="P30" s="202"/>
      <c r="Q30" s="131"/>
      <c r="R30" s="131"/>
    </row>
    <row r="31" spans="1:18" ht="17.25" customHeight="1">
      <c r="A31" s="19"/>
      <c r="B31" s="12" t="s">
        <v>6</v>
      </c>
      <c r="C31" s="9" t="s">
        <v>97</v>
      </c>
      <c r="D31" s="76"/>
      <c r="E31" s="13"/>
      <c r="F31" s="203"/>
      <c r="G31" s="203"/>
      <c r="H31" s="204"/>
      <c r="I31" s="205">
        <f>SUM(I32:I47)</f>
        <v>21495408625</v>
      </c>
      <c r="J31" s="206"/>
      <c r="K31" s="205"/>
      <c r="L31" s="203"/>
      <c r="M31" s="203"/>
      <c r="N31" s="204"/>
      <c r="O31" s="205">
        <v>20602177106</v>
      </c>
      <c r="P31" s="202"/>
      <c r="Q31" s="131"/>
      <c r="R31" s="131"/>
    </row>
    <row r="32" spans="1:16" ht="17.25" customHeight="1">
      <c r="A32" s="19"/>
      <c r="B32" s="130">
        <v>1</v>
      </c>
      <c r="C32" s="9" t="s">
        <v>47</v>
      </c>
      <c r="D32" s="76"/>
      <c r="E32" s="9"/>
      <c r="F32" s="90"/>
      <c r="G32" s="90"/>
      <c r="H32" s="93"/>
      <c r="I32" s="90">
        <f>+'재무상태표-사이트별(2018.12.31)'!R33</f>
        <v>6011551453</v>
      </c>
      <c r="J32" s="91"/>
      <c r="K32" s="90"/>
      <c r="L32" s="90"/>
      <c r="M32" s="90"/>
      <c r="N32" s="93"/>
      <c r="O32" s="90">
        <v>6011551453</v>
      </c>
      <c r="P32" s="33"/>
    </row>
    <row r="33" spans="1:16" ht="17.25" customHeight="1">
      <c r="A33" s="19"/>
      <c r="B33" s="130">
        <f>B32+1</f>
        <v>2</v>
      </c>
      <c r="C33" s="9" t="s">
        <v>58</v>
      </c>
      <c r="D33" s="76"/>
      <c r="E33" s="9"/>
      <c r="F33" s="90">
        <f>+'재무상태표-사이트별(2018.12.31)'!R34</f>
        <v>11712745549</v>
      </c>
      <c r="G33" s="90"/>
      <c r="H33" s="93"/>
      <c r="I33" s="90"/>
      <c r="J33" s="91"/>
      <c r="K33" s="90"/>
      <c r="L33" s="90">
        <v>11712745549</v>
      </c>
      <c r="M33" s="90"/>
      <c r="N33" s="93"/>
      <c r="O33" s="90"/>
      <c r="P33" s="33"/>
    </row>
    <row r="34" spans="1:16" ht="17.25" customHeight="1">
      <c r="A34" s="19"/>
      <c r="B34" s="2"/>
      <c r="C34" s="9" t="s">
        <v>13</v>
      </c>
      <c r="D34" s="76"/>
      <c r="E34" s="9"/>
      <c r="F34" s="94">
        <f>-'재무상태표-사이트별(2018.12.31)'!R35</f>
        <v>5270735484</v>
      </c>
      <c r="G34" s="90"/>
      <c r="H34" s="93"/>
      <c r="I34" s="90">
        <f>+F33-F34</f>
        <v>6442010065</v>
      </c>
      <c r="J34" s="91"/>
      <c r="K34" s="90"/>
      <c r="L34" s="94">
        <v>4977916846</v>
      </c>
      <c r="M34" s="90"/>
      <c r="N34" s="93"/>
      <c r="O34" s="90">
        <f>+L33-L34</f>
        <v>6734828703</v>
      </c>
      <c r="P34" s="33"/>
    </row>
    <row r="35" spans="1:16" ht="17.25" customHeight="1">
      <c r="A35" s="19"/>
      <c r="B35" s="130">
        <f>B33+1</f>
        <v>3</v>
      </c>
      <c r="C35" s="9" t="s">
        <v>64</v>
      </c>
      <c r="D35" s="76"/>
      <c r="E35" s="9"/>
      <c r="F35" s="90">
        <f>+'재무상태표-사이트별(2018.12.31)'!R36</f>
        <v>490522143</v>
      </c>
      <c r="G35" s="90"/>
      <c r="H35" s="93"/>
      <c r="I35" s="90"/>
      <c r="J35" s="91"/>
      <c r="K35" s="90"/>
      <c r="L35" s="90">
        <v>505899143</v>
      </c>
      <c r="M35" s="90"/>
      <c r="N35" s="93"/>
      <c r="O35" s="90"/>
      <c r="P35" s="33"/>
    </row>
    <row r="36" spans="1:16" ht="17.25" customHeight="1">
      <c r="A36" s="19"/>
      <c r="B36" s="2"/>
      <c r="C36" s="9" t="s">
        <v>13</v>
      </c>
      <c r="D36" s="76"/>
      <c r="E36" s="9"/>
      <c r="F36" s="94">
        <f>-'재무상태표-사이트별(2018.12.31)'!R37</f>
        <v>490493143</v>
      </c>
      <c r="G36" s="90"/>
      <c r="H36" s="93"/>
      <c r="I36" s="90">
        <f>+F35-F36</f>
        <v>29000</v>
      </c>
      <c r="J36" s="91"/>
      <c r="K36" s="90"/>
      <c r="L36" s="94">
        <v>505869143</v>
      </c>
      <c r="M36" s="90"/>
      <c r="N36" s="93"/>
      <c r="O36" s="90">
        <f>+L35-L36</f>
        <v>30000</v>
      </c>
      <c r="P36" s="33"/>
    </row>
    <row r="37" spans="1:16" ht="17.25" customHeight="1">
      <c r="A37" s="19"/>
      <c r="B37" s="130">
        <f>B35+1</f>
        <v>4</v>
      </c>
      <c r="C37" s="9" t="s">
        <v>7</v>
      </c>
      <c r="D37" s="76"/>
      <c r="E37" s="9"/>
      <c r="F37" s="90">
        <f>+'재무상태표-사이트별(2018.12.31)'!R38</f>
        <v>80080671</v>
      </c>
      <c r="G37" s="90"/>
      <c r="H37" s="93"/>
      <c r="I37" s="90"/>
      <c r="J37" s="91"/>
      <c r="K37" s="90"/>
      <c r="L37" s="90">
        <v>53970671</v>
      </c>
      <c r="M37" s="90"/>
      <c r="N37" s="93"/>
      <c r="O37" s="90"/>
      <c r="P37" s="33"/>
    </row>
    <row r="38" spans="1:16" ht="17.25" customHeight="1">
      <c r="A38" s="19"/>
      <c r="B38" s="2"/>
      <c r="C38" s="9" t="s">
        <v>13</v>
      </c>
      <c r="D38" s="76"/>
      <c r="E38" s="9"/>
      <c r="F38" s="94">
        <f>-'재무상태표-사이트별(2018.12.31)'!R39</f>
        <v>55416414</v>
      </c>
      <c r="G38" s="90"/>
      <c r="H38" s="93"/>
      <c r="I38" s="90">
        <f>+F37-F38</f>
        <v>24664257</v>
      </c>
      <c r="J38" s="91"/>
      <c r="K38" s="90"/>
      <c r="L38" s="94">
        <v>49386851</v>
      </c>
      <c r="M38" s="90"/>
      <c r="N38" s="93"/>
      <c r="O38" s="90">
        <f>+L37-L38</f>
        <v>4583820</v>
      </c>
      <c r="P38" s="33"/>
    </row>
    <row r="39" spans="1:16" ht="17.25" customHeight="1">
      <c r="A39" s="19"/>
      <c r="B39" s="130">
        <f>B37+1</f>
        <v>5</v>
      </c>
      <c r="C39" s="9" t="s">
        <v>45</v>
      </c>
      <c r="D39" s="76"/>
      <c r="E39" s="9"/>
      <c r="F39" s="90">
        <f>+'재무상태표-사이트별(2018.12.31)'!R40</f>
        <v>211551406</v>
      </c>
      <c r="G39" s="90"/>
      <c r="H39" s="93"/>
      <c r="I39" s="90"/>
      <c r="J39" s="91"/>
      <c r="K39" s="90"/>
      <c r="L39" s="90">
        <v>224749406</v>
      </c>
      <c r="M39" s="90"/>
      <c r="N39" s="93"/>
      <c r="O39" s="90"/>
      <c r="P39" s="33"/>
    </row>
    <row r="40" spans="1:16" ht="17.25" customHeight="1">
      <c r="A40" s="19"/>
      <c r="B40" s="14"/>
      <c r="C40" s="9" t="s">
        <v>13</v>
      </c>
      <c r="D40" s="76"/>
      <c r="E40" s="9"/>
      <c r="F40" s="94">
        <f>-'재무상태표-사이트별(2018.12.31)'!R41</f>
        <v>207950526</v>
      </c>
      <c r="G40" s="90"/>
      <c r="H40" s="93"/>
      <c r="I40" s="90">
        <f>+F39-F40</f>
        <v>3600880</v>
      </c>
      <c r="J40" s="91"/>
      <c r="K40" s="90"/>
      <c r="L40" s="94">
        <v>220663126</v>
      </c>
      <c r="M40" s="90"/>
      <c r="N40" s="93"/>
      <c r="O40" s="90">
        <f>+L39-L40</f>
        <v>4086280</v>
      </c>
      <c r="P40" s="33"/>
    </row>
    <row r="41" spans="1:16" ht="17.25" customHeight="1">
      <c r="A41" s="19"/>
      <c r="B41" s="130">
        <f>B39+1</f>
        <v>6</v>
      </c>
      <c r="C41" s="9" t="s">
        <v>8</v>
      </c>
      <c r="D41" s="76"/>
      <c r="E41" s="9"/>
      <c r="F41" s="90">
        <f>+'재무상태표-사이트별(2018.12.31)'!R42</f>
        <v>5267276647</v>
      </c>
      <c r="G41" s="90"/>
      <c r="H41" s="93"/>
      <c r="I41" s="90"/>
      <c r="J41" s="91"/>
      <c r="K41" s="90"/>
      <c r="L41" s="90">
        <v>5645442421</v>
      </c>
      <c r="M41" s="90"/>
      <c r="N41" s="93"/>
      <c r="O41" s="90"/>
      <c r="P41" s="33"/>
    </row>
    <row r="42" spans="1:16" ht="17.25" customHeight="1">
      <c r="A42" s="19"/>
      <c r="B42" s="130"/>
      <c r="C42" s="9" t="s">
        <v>13</v>
      </c>
      <c r="D42" s="76"/>
      <c r="E42" s="9"/>
      <c r="F42" s="94">
        <f>-'재무상태표-사이트별(2018.12.31)'!R43</f>
        <v>4400270957</v>
      </c>
      <c r="G42" s="90"/>
      <c r="H42" s="93"/>
      <c r="I42" s="90">
        <f>+F41-F42</f>
        <v>867005690</v>
      </c>
      <c r="J42" s="91"/>
      <c r="K42" s="90"/>
      <c r="L42" s="94">
        <v>4955032851</v>
      </c>
      <c r="M42" s="90"/>
      <c r="N42" s="93"/>
      <c r="O42" s="90">
        <f>+L41-L42</f>
        <v>690409570</v>
      </c>
      <c r="P42" s="33"/>
    </row>
    <row r="43" spans="1:16" ht="17.25" customHeight="1">
      <c r="A43" s="19"/>
      <c r="B43" s="130">
        <f>B41+1</f>
        <v>7</v>
      </c>
      <c r="C43" s="9" t="s">
        <v>126</v>
      </c>
      <c r="D43" s="76"/>
      <c r="E43" s="9"/>
      <c r="F43" s="90">
        <f>+'재무상태표-사이트별(2018.12.31)'!R45</f>
        <v>3845721145</v>
      </c>
      <c r="G43" s="90"/>
      <c r="H43" s="93"/>
      <c r="I43" s="90"/>
      <c r="J43" s="91"/>
      <c r="K43" s="90"/>
      <c r="L43" s="90">
        <v>3845721145</v>
      </c>
      <c r="M43" s="90"/>
      <c r="N43" s="93"/>
      <c r="O43" s="90"/>
      <c r="P43" s="33"/>
    </row>
    <row r="44" spans="1:16" ht="17.25" customHeight="1">
      <c r="A44" s="19"/>
      <c r="B44" s="130"/>
      <c r="C44" s="9" t="s">
        <v>13</v>
      </c>
      <c r="D44" s="76"/>
      <c r="E44" s="9"/>
      <c r="F44" s="94">
        <f>-'재무상태표-사이트별(2018.12.31)'!R46</f>
        <v>3845712355</v>
      </c>
      <c r="G44" s="90"/>
      <c r="H44" s="93"/>
      <c r="I44" s="90">
        <f>+F43-F44</f>
        <v>8790</v>
      </c>
      <c r="J44" s="91"/>
      <c r="K44" s="90"/>
      <c r="L44" s="94">
        <v>3845712355</v>
      </c>
      <c r="M44" s="90"/>
      <c r="N44" s="93"/>
      <c r="O44" s="90">
        <f>+L43-L44</f>
        <v>8790</v>
      </c>
      <c r="P44" s="33"/>
    </row>
    <row r="45" spans="1:16" ht="17.25" customHeight="1">
      <c r="A45" s="19"/>
      <c r="B45" s="130">
        <f>B43+1</f>
        <v>8</v>
      </c>
      <c r="C45" s="9" t="s">
        <v>125</v>
      </c>
      <c r="D45" s="76"/>
      <c r="E45" s="9"/>
      <c r="F45" s="90"/>
      <c r="G45" s="90"/>
      <c r="H45" s="93"/>
      <c r="I45" s="90">
        <f>+'재무상태표-사이트별(2018.12.31)'!R47</f>
        <v>4822496055</v>
      </c>
      <c r="J45" s="91"/>
      <c r="K45" s="90"/>
      <c r="L45" s="90"/>
      <c r="M45" s="90"/>
      <c r="N45" s="93"/>
      <c r="O45" s="90">
        <v>4199496055</v>
      </c>
      <c r="P45" s="33"/>
    </row>
    <row r="46" spans="1:16" ht="17.25" customHeight="1">
      <c r="A46" s="19"/>
      <c r="B46" s="130">
        <f>+B45+1</f>
        <v>9</v>
      </c>
      <c r="C46" s="9" t="s">
        <v>124</v>
      </c>
      <c r="D46" s="76"/>
      <c r="E46" s="9"/>
      <c r="F46" s="90"/>
      <c r="G46" s="90"/>
      <c r="H46" s="93"/>
      <c r="I46" s="90">
        <f>+'재무상태표-사이트별(2018.12.31)'!R48</f>
        <v>3254652435</v>
      </c>
      <c r="J46" s="91"/>
      <c r="K46" s="90"/>
      <c r="L46" s="90"/>
      <c r="M46" s="90"/>
      <c r="N46" s="93"/>
      <c r="O46" s="90">
        <v>2887792435</v>
      </c>
      <c r="P46" s="33"/>
    </row>
    <row r="47" spans="1:16" ht="18" customHeight="1">
      <c r="A47" s="19"/>
      <c r="B47" s="130">
        <f>B46+1</f>
        <v>10</v>
      </c>
      <c r="C47" s="9" t="s">
        <v>63</v>
      </c>
      <c r="D47" s="76"/>
      <c r="E47" s="9"/>
      <c r="F47" s="89"/>
      <c r="G47" s="89"/>
      <c r="H47" s="95"/>
      <c r="I47" s="90">
        <f>+'재무상태표-사이트별(2018.12.31)'!R44</f>
        <v>69390000</v>
      </c>
      <c r="J47" s="91"/>
      <c r="K47" s="90"/>
      <c r="L47" s="89"/>
      <c r="M47" s="89"/>
      <c r="N47" s="95"/>
      <c r="O47" s="90">
        <v>69390000</v>
      </c>
      <c r="P47" s="33"/>
    </row>
    <row r="48" spans="1:16" ht="16.5" customHeight="1">
      <c r="A48" s="19"/>
      <c r="B48" s="12" t="s">
        <v>114</v>
      </c>
      <c r="C48" s="36" t="s">
        <v>115</v>
      </c>
      <c r="D48" s="76"/>
      <c r="E48" s="9"/>
      <c r="F48" s="89"/>
      <c r="G48" s="89"/>
      <c r="H48" s="95"/>
      <c r="I48" s="89"/>
      <c r="J48" s="92"/>
      <c r="K48" s="87"/>
      <c r="L48" s="89"/>
      <c r="M48" s="89"/>
      <c r="N48" s="95"/>
      <c r="O48" s="89"/>
      <c r="P48" s="33"/>
    </row>
    <row r="49" spans="1:16" ht="18" customHeight="1">
      <c r="A49" s="19"/>
      <c r="B49" s="12" t="s">
        <v>116</v>
      </c>
      <c r="C49" s="36" t="s">
        <v>117</v>
      </c>
      <c r="D49" s="76"/>
      <c r="E49" s="9"/>
      <c r="F49" s="89"/>
      <c r="G49" s="89"/>
      <c r="H49" s="95"/>
      <c r="I49" s="87">
        <f>SUM(I51:I53)</f>
        <v>100888000</v>
      </c>
      <c r="J49" s="92"/>
      <c r="K49" s="87"/>
      <c r="L49" s="89"/>
      <c r="M49" s="89"/>
      <c r="N49" s="95"/>
      <c r="O49" s="87">
        <v>86454400</v>
      </c>
      <c r="P49" s="33"/>
    </row>
    <row r="50" spans="1:16" ht="5.25" customHeight="1">
      <c r="A50" s="19"/>
      <c r="B50" s="8"/>
      <c r="C50" s="9"/>
      <c r="D50" s="76"/>
      <c r="E50" s="9"/>
      <c r="F50" s="89"/>
      <c r="G50" s="89"/>
      <c r="H50" s="95"/>
      <c r="I50" s="87"/>
      <c r="J50" s="92"/>
      <c r="K50" s="87"/>
      <c r="L50" s="89"/>
      <c r="M50" s="89"/>
      <c r="N50" s="95"/>
      <c r="O50" s="87"/>
      <c r="P50" s="33"/>
    </row>
    <row r="51" spans="1:16" ht="17.25" customHeight="1" thickBot="1">
      <c r="A51" s="22"/>
      <c r="B51" s="213">
        <v>1</v>
      </c>
      <c r="C51" s="80" t="s">
        <v>178</v>
      </c>
      <c r="D51" s="81"/>
      <c r="E51" s="80"/>
      <c r="F51" s="113"/>
      <c r="G51" s="113"/>
      <c r="H51" s="115"/>
      <c r="I51" s="214">
        <f>+'재무상태표-사이트별(2018.12.31)'!R51</f>
        <v>888000</v>
      </c>
      <c r="J51" s="215"/>
      <c r="K51" s="214"/>
      <c r="L51" s="113"/>
      <c r="M51" s="113"/>
      <c r="N51" s="115"/>
      <c r="O51" s="214">
        <v>888000</v>
      </c>
      <c r="P51" s="34"/>
    </row>
    <row r="52" spans="1:16" ht="17.25" customHeight="1">
      <c r="A52" s="19"/>
      <c r="B52" s="130">
        <f>B51+1</f>
        <v>2</v>
      </c>
      <c r="C52" s="9" t="s">
        <v>98</v>
      </c>
      <c r="D52" s="76"/>
      <c r="E52" s="9"/>
      <c r="F52" s="87"/>
      <c r="G52" s="87"/>
      <c r="H52" s="88"/>
      <c r="I52" s="90">
        <f>+'재무상태표-사이트별(2018.12.31)'!R50</f>
        <v>100000000</v>
      </c>
      <c r="J52" s="91"/>
      <c r="K52" s="90"/>
      <c r="L52" s="87"/>
      <c r="M52" s="87"/>
      <c r="N52" s="88"/>
      <c r="O52" s="90">
        <v>85000000</v>
      </c>
      <c r="P52" s="33"/>
    </row>
    <row r="53" spans="1:16" ht="17.25" customHeight="1">
      <c r="A53" s="19"/>
      <c r="B53" s="130">
        <f>B52+1</f>
        <v>3</v>
      </c>
      <c r="C53" s="9" t="s">
        <v>37</v>
      </c>
      <c r="D53" s="76"/>
      <c r="E53" s="9"/>
      <c r="F53" s="87"/>
      <c r="G53" s="87"/>
      <c r="H53" s="88"/>
      <c r="I53" s="90">
        <f>+'재무상태표-사이트별(2018.12.31)'!R52</f>
        <v>0</v>
      </c>
      <c r="J53" s="91"/>
      <c r="K53" s="90"/>
      <c r="L53" s="87"/>
      <c r="M53" s="87"/>
      <c r="N53" s="88"/>
      <c r="O53" s="90">
        <v>566400</v>
      </c>
      <c r="P53" s="33"/>
    </row>
    <row r="54" spans="1:16" ht="17.25" customHeight="1" thickBot="1">
      <c r="A54" s="65"/>
      <c r="B54" s="490" t="s">
        <v>36</v>
      </c>
      <c r="C54" s="490"/>
      <c r="D54" s="117"/>
      <c r="E54" s="120"/>
      <c r="F54" s="111"/>
      <c r="G54" s="111"/>
      <c r="H54" s="112"/>
      <c r="I54" s="121">
        <f>+I10+I26</f>
        <v>147606103076</v>
      </c>
      <c r="J54" s="110"/>
      <c r="K54" s="109"/>
      <c r="L54" s="111"/>
      <c r="M54" s="111"/>
      <c r="N54" s="112"/>
      <c r="O54" s="121">
        <f>+O10+O26</f>
        <v>147341065363</v>
      </c>
      <c r="P54" s="33"/>
    </row>
    <row r="55" spans="1:16" ht="19.5" customHeight="1" thickTop="1">
      <c r="A55" s="21"/>
      <c r="B55" s="489" t="s">
        <v>32</v>
      </c>
      <c r="C55" s="489"/>
      <c r="D55" s="75"/>
      <c r="E55" s="14"/>
      <c r="F55" s="87"/>
      <c r="G55" s="92"/>
      <c r="H55" s="88"/>
      <c r="I55" s="87"/>
      <c r="J55" s="92"/>
      <c r="K55" s="88"/>
      <c r="L55" s="87"/>
      <c r="M55" s="92"/>
      <c r="N55" s="88"/>
      <c r="O55" s="87"/>
      <c r="P55" s="33"/>
    </row>
    <row r="56" spans="1:16" ht="19.5" customHeight="1">
      <c r="A56" s="45" t="s">
        <v>0</v>
      </c>
      <c r="B56" s="489" t="s">
        <v>15</v>
      </c>
      <c r="C56" s="489"/>
      <c r="D56" s="105"/>
      <c r="E56" s="47"/>
      <c r="F56" s="111"/>
      <c r="G56" s="118"/>
      <c r="H56" s="112"/>
      <c r="I56" s="109">
        <f>SUM(I57:I66)</f>
        <v>6642571711</v>
      </c>
      <c r="J56" s="110"/>
      <c r="K56" s="119"/>
      <c r="L56" s="111"/>
      <c r="M56" s="118"/>
      <c r="N56" s="112"/>
      <c r="O56" s="109">
        <f>SUM(O57:O66)</f>
        <v>5931557706</v>
      </c>
      <c r="P56" s="33"/>
    </row>
    <row r="57" spans="1:16" ht="17.25" customHeight="1">
      <c r="A57" s="19"/>
      <c r="B57" s="130">
        <v>1</v>
      </c>
      <c r="C57" s="9" t="s">
        <v>9</v>
      </c>
      <c r="D57" s="76"/>
      <c r="E57" s="9"/>
      <c r="F57" s="87"/>
      <c r="G57" s="92"/>
      <c r="H57" s="88"/>
      <c r="I57" s="90">
        <f>+'재무상태표-사이트별(2018.12.31)'!R59</f>
        <v>517601252</v>
      </c>
      <c r="J57" s="91"/>
      <c r="K57" s="93"/>
      <c r="L57" s="87"/>
      <c r="M57" s="92"/>
      <c r="N57" s="88"/>
      <c r="O57" s="90">
        <v>499150946</v>
      </c>
      <c r="P57" s="33"/>
    </row>
    <row r="58" spans="1:16" ht="17.25" customHeight="1">
      <c r="A58" s="19"/>
      <c r="B58" s="130">
        <f aca="true" t="shared" si="0" ref="B58:B64">B57+1</f>
        <v>2</v>
      </c>
      <c r="C58" s="9" t="s">
        <v>48</v>
      </c>
      <c r="D58" s="76"/>
      <c r="E58" s="9"/>
      <c r="F58" s="87"/>
      <c r="G58" s="92"/>
      <c r="H58" s="88"/>
      <c r="I58" s="90">
        <f>+'재무상태표-사이트별(2018.12.31)'!R63</f>
        <v>1822426436</v>
      </c>
      <c r="J58" s="91"/>
      <c r="K58" s="93"/>
      <c r="L58" s="87"/>
      <c r="M58" s="92"/>
      <c r="N58" s="88"/>
      <c r="O58" s="90">
        <v>3251469158</v>
      </c>
      <c r="P58" s="33"/>
    </row>
    <row r="59" spans="1:16" ht="17.25" customHeight="1">
      <c r="A59" s="19"/>
      <c r="B59" s="130">
        <f t="shared" si="0"/>
        <v>3</v>
      </c>
      <c r="C59" s="9" t="s">
        <v>165</v>
      </c>
      <c r="D59" s="76"/>
      <c r="E59" s="9"/>
      <c r="F59" s="87"/>
      <c r="G59" s="92"/>
      <c r="H59" s="88"/>
      <c r="I59" s="90">
        <f>+'재무상태표-사이트별(2018.12.31)'!R64</f>
        <v>2417781971</v>
      </c>
      <c r="J59" s="91"/>
      <c r="K59" s="93"/>
      <c r="L59" s="87"/>
      <c r="M59" s="92"/>
      <c r="N59" s="88"/>
      <c r="O59" s="90">
        <v>931302947</v>
      </c>
      <c r="P59" s="33"/>
    </row>
    <row r="60" spans="1:16" ht="17.25" customHeight="1">
      <c r="A60" s="19"/>
      <c r="B60" s="130">
        <f t="shared" si="0"/>
        <v>4</v>
      </c>
      <c r="C60" s="9" t="s">
        <v>191</v>
      </c>
      <c r="D60" s="76"/>
      <c r="E60" s="9"/>
      <c r="F60" s="87"/>
      <c r="G60" s="92"/>
      <c r="H60" s="88"/>
      <c r="I60" s="90">
        <f>+'재무상태표-사이트별(2018.12.31)'!R65</f>
        <v>0</v>
      </c>
      <c r="J60" s="91"/>
      <c r="K60" s="93"/>
      <c r="L60" s="87"/>
      <c r="M60" s="92"/>
      <c r="N60" s="88"/>
      <c r="O60" s="90">
        <v>0</v>
      </c>
      <c r="P60" s="33"/>
    </row>
    <row r="61" spans="1:16" ht="17.25" customHeight="1">
      <c r="A61" s="19"/>
      <c r="B61" s="130">
        <f t="shared" si="0"/>
        <v>5</v>
      </c>
      <c r="C61" s="9" t="s">
        <v>173</v>
      </c>
      <c r="D61" s="76"/>
      <c r="E61" s="9"/>
      <c r="F61" s="87"/>
      <c r="G61" s="92"/>
      <c r="H61" s="88"/>
      <c r="I61" s="90">
        <f>+'재무상태표-사이트별(2018.12.31)'!R66</f>
        <v>995140285</v>
      </c>
      <c r="J61" s="91"/>
      <c r="K61" s="93"/>
      <c r="L61" s="87"/>
      <c r="M61" s="92"/>
      <c r="N61" s="88"/>
      <c r="O61" s="90">
        <v>499134226</v>
      </c>
      <c r="P61" s="33"/>
    </row>
    <row r="62" spans="1:16" ht="17.25" customHeight="1">
      <c r="A62" s="19"/>
      <c r="B62" s="130">
        <f t="shared" si="0"/>
        <v>6</v>
      </c>
      <c r="C62" s="9" t="s">
        <v>10</v>
      </c>
      <c r="D62" s="76"/>
      <c r="E62" s="9"/>
      <c r="F62" s="87"/>
      <c r="G62" s="92"/>
      <c r="H62" s="88"/>
      <c r="I62" s="90">
        <f>+'재무상태표-사이트별(2018.12.31)'!R60+'재무상태표-사이트별(2018.12.31)'!R61</f>
        <v>168570927</v>
      </c>
      <c r="J62" s="91"/>
      <c r="K62" s="93"/>
      <c r="L62" s="87"/>
      <c r="M62" s="92"/>
      <c r="N62" s="88"/>
      <c r="O62" s="90">
        <v>221594185</v>
      </c>
      <c r="P62" s="33"/>
    </row>
    <row r="63" spans="1:16" ht="17.25" customHeight="1">
      <c r="A63" s="19"/>
      <c r="B63" s="130">
        <f t="shared" si="0"/>
        <v>7</v>
      </c>
      <c r="C63" s="9" t="s">
        <v>62</v>
      </c>
      <c r="D63" s="76"/>
      <c r="E63" s="9"/>
      <c r="F63" s="87"/>
      <c r="G63" s="92"/>
      <c r="H63" s="88"/>
      <c r="I63" s="90">
        <f>+'재무상태표-사이트별(2018.12.31)'!R70</f>
        <v>154092467</v>
      </c>
      <c r="J63" s="91"/>
      <c r="K63" s="93"/>
      <c r="L63" s="87"/>
      <c r="M63" s="92"/>
      <c r="N63" s="88"/>
      <c r="O63" s="90">
        <v>137882642</v>
      </c>
      <c r="P63" s="33"/>
    </row>
    <row r="64" spans="1:16" ht="17.25" customHeight="1">
      <c r="A64" s="19"/>
      <c r="B64" s="130">
        <f t="shared" si="0"/>
        <v>8</v>
      </c>
      <c r="C64" s="9" t="s">
        <v>73</v>
      </c>
      <c r="D64" s="76"/>
      <c r="E64" s="9"/>
      <c r="F64" s="87"/>
      <c r="G64" s="92"/>
      <c r="H64" s="88"/>
      <c r="I64" s="90">
        <f>+'재무상태표-사이트별(2018.12.31)'!R68</f>
        <v>507453</v>
      </c>
      <c r="J64" s="91"/>
      <c r="K64" s="93"/>
      <c r="L64" s="87"/>
      <c r="M64" s="92"/>
      <c r="N64" s="88"/>
      <c r="O64" s="90">
        <v>1644553</v>
      </c>
      <c r="P64" s="33"/>
    </row>
    <row r="65" spans="1:16" ht="17.25" customHeight="1">
      <c r="A65" s="19"/>
      <c r="B65" s="130">
        <v>9</v>
      </c>
      <c r="C65" s="9" t="s">
        <v>197</v>
      </c>
      <c r="D65" s="76"/>
      <c r="E65" s="9"/>
      <c r="F65" s="87"/>
      <c r="G65" s="92"/>
      <c r="H65" s="88"/>
      <c r="I65" s="90">
        <f>+'재무상태표-사이트별(2018.12.31)'!R62</f>
        <v>0</v>
      </c>
      <c r="J65" s="91"/>
      <c r="K65" s="93"/>
      <c r="L65" s="87"/>
      <c r="M65" s="92"/>
      <c r="N65" s="88"/>
      <c r="O65" s="90">
        <v>0</v>
      </c>
      <c r="P65" s="33"/>
    </row>
    <row r="66" spans="1:16" ht="17.25" customHeight="1">
      <c r="A66" s="19"/>
      <c r="B66" s="130">
        <v>10</v>
      </c>
      <c r="C66" s="9" t="s">
        <v>186</v>
      </c>
      <c r="D66" s="76"/>
      <c r="E66" s="9"/>
      <c r="F66" s="87"/>
      <c r="G66" s="92"/>
      <c r="H66" s="88"/>
      <c r="I66" s="90">
        <f>+'재무상태표-사이트별(2018.12.31)'!R67</f>
        <v>566450920</v>
      </c>
      <c r="J66" s="91"/>
      <c r="K66" s="93"/>
      <c r="L66" s="87"/>
      <c r="M66" s="92"/>
      <c r="N66" s="88"/>
      <c r="O66" s="90">
        <v>389379049</v>
      </c>
      <c r="P66" s="33"/>
    </row>
    <row r="67" spans="1:16" ht="19.5" customHeight="1">
      <c r="A67" s="45" t="s">
        <v>3</v>
      </c>
      <c r="B67" s="489" t="s">
        <v>118</v>
      </c>
      <c r="C67" s="489"/>
      <c r="D67" s="105"/>
      <c r="E67" s="47"/>
      <c r="F67" s="111"/>
      <c r="G67" s="118"/>
      <c r="H67" s="112"/>
      <c r="I67" s="109">
        <f>SUM(I68:I71)</f>
        <v>7566646113</v>
      </c>
      <c r="J67" s="110"/>
      <c r="K67" s="119"/>
      <c r="L67" s="111"/>
      <c r="M67" s="118"/>
      <c r="N67" s="112"/>
      <c r="O67" s="109">
        <f>SUM(O68:O71)</f>
        <v>6954307998</v>
      </c>
      <c r="P67" s="33"/>
    </row>
    <row r="68" spans="1:16" ht="17.25" customHeight="1">
      <c r="A68" s="20"/>
      <c r="B68" s="130">
        <v>1</v>
      </c>
      <c r="C68" s="6" t="s">
        <v>49</v>
      </c>
      <c r="D68" s="75"/>
      <c r="E68" s="14"/>
      <c r="F68" s="90"/>
      <c r="G68" s="91"/>
      <c r="H68" s="93"/>
      <c r="I68" s="90">
        <f>+'재무상태표-사이트별(2018.12.31)'!R72</f>
        <v>2810117810</v>
      </c>
      <c r="J68" s="91"/>
      <c r="K68" s="93"/>
      <c r="L68" s="90"/>
      <c r="M68" s="91"/>
      <c r="N68" s="93"/>
      <c r="O68" s="90">
        <v>2761445360</v>
      </c>
      <c r="P68" s="33"/>
    </row>
    <row r="69" spans="1:16" ht="17.25" customHeight="1">
      <c r="A69" s="19"/>
      <c r="B69" s="130">
        <f>B68+1</f>
        <v>2</v>
      </c>
      <c r="C69" s="9" t="s">
        <v>102</v>
      </c>
      <c r="D69" s="76"/>
      <c r="E69" s="9"/>
      <c r="F69" s="90">
        <f>+'재무상태표-사이트별(2018.12.31)'!R73</f>
        <v>5431402816</v>
      </c>
      <c r="G69" s="91"/>
      <c r="H69" s="93"/>
      <c r="I69" s="90"/>
      <c r="J69" s="91"/>
      <c r="K69" s="93"/>
      <c r="L69" s="90">
        <v>4909317570</v>
      </c>
      <c r="M69" s="91"/>
      <c r="N69" s="93"/>
      <c r="O69" s="90"/>
      <c r="P69" s="33"/>
    </row>
    <row r="70" spans="1:16" ht="17.25" customHeight="1">
      <c r="A70" s="19"/>
      <c r="B70" s="14"/>
      <c r="C70" s="9" t="s">
        <v>11</v>
      </c>
      <c r="D70" s="76"/>
      <c r="E70" s="9"/>
      <c r="F70" s="90">
        <f>-'재무상태표-사이트별(2018.12.31)'!R74</f>
        <v>3031200</v>
      </c>
      <c r="G70" s="91"/>
      <c r="H70" s="93"/>
      <c r="I70" s="90"/>
      <c r="J70" s="91"/>
      <c r="K70" s="93"/>
      <c r="L70" s="90">
        <v>5873700</v>
      </c>
      <c r="M70" s="91"/>
      <c r="N70" s="93"/>
      <c r="O70" s="90"/>
      <c r="P70" s="33"/>
    </row>
    <row r="71" spans="1:16" ht="17.25" customHeight="1">
      <c r="A71" s="19"/>
      <c r="B71" s="14"/>
      <c r="C71" s="9" t="s">
        <v>95</v>
      </c>
      <c r="D71" s="76"/>
      <c r="E71" s="9"/>
      <c r="F71" s="199">
        <f>+'재무상태표-사이트별(2018.12.31)'!R30</f>
        <v>671843313</v>
      </c>
      <c r="G71" s="91"/>
      <c r="H71" s="93"/>
      <c r="I71" s="90">
        <f>+F69-F70-F71</f>
        <v>4756528303</v>
      </c>
      <c r="J71" s="97"/>
      <c r="K71" s="98"/>
      <c r="L71" s="199">
        <v>710581232</v>
      </c>
      <c r="M71" s="91"/>
      <c r="N71" s="93"/>
      <c r="O71" s="90">
        <f>+L69-L70-L71</f>
        <v>4192862638</v>
      </c>
      <c r="P71" s="33"/>
    </row>
    <row r="72" spans="1:16" ht="19.5" customHeight="1">
      <c r="A72" s="21"/>
      <c r="B72" s="490" t="s">
        <v>35</v>
      </c>
      <c r="C72" s="490"/>
      <c r="D72" s="105"/>
      <c r="E72" s="47"/>
      <c r="F72" s="111"/>
      <c r="G72" s="118"/>
      <c r="H72" s="112"/>
      <c r="I72" s="122">
        <f>+I56+I67</f>
        <v>14209217824</v>
      </c>
      <c r="J72" s="110"/>
      <c r="K72" s="119"/>
      <c r="L72" s="111"/>
      <c r="M72" s="118"/>
      <c r="N72" s="112"/>
      <c r="O72" s="122">
        <f>+O56+O67</f>
        <v>12885865704</v>
      </c>
      <c r="P72" s="33"/>
    </row>
    <row r="73" spans="1:16" ht="19.5" customHeight="1">
      <c r="A73" s="21"/>
      <c r="B73" s="489" t="s">
        <v>17</v>
      </c>
      <c r="C73" s="489"/>
      <c r="D73" s="75"/>
      <c r="E73" s="14"/>
      <c r="F73" s="87"/>
      <c r="G73" s="92"/>
      <c r="H73" s="88"/>
      <c r="I73" s="87"/>
      <c r="J73" s="92"/>
      <c r="K73" s="88"/>
      <c r="L73" s="87"/>
      <c r="M73" s="92"/>
      <c r="N73" s="88"/>
      <c r="O73" s="87"/>
      <c r="P73" s="33"/>
    </row>
    <row r="74" spans="1:16" ht="19.5" customHeight="1">
      <c r="A74" s="45" t="s">
        <v>0</v>
      </c>
      <c r="B74" s="489" t="s">
        <v>16</v>
      </c>
      <c r="C74" s="489"/>
      <c r="D74" s="105"/>
      <c r="E74" s="47"/>
      <c r="F74" s="111"/>
      <c r="G74" s="118"/>
      <c r="H74" s="112"/>
      <c r="I74" s="109">
        <f>+I75</f>
        <v>122009408459</v>
      </c>
      <c r="J74" s="110"/>
      <c r="K74" s="119"/>
      <c r="L74" s="111"/>
      <c r="M74" s="118"/>
      <c r="N74" s="112"/>
      <c r="O74" s="109">
        <f>+O75</f>
        <v>122009408459</v>
      </c>
      <c r="P74" s="33"/>
    </row>
    <row r="75" spans="1:16" ht="17.25" customHeight="1">
      <c r="A75" s="19"/>
      <c r="B75" s="130">
        <v>1</v>
      </c>
      <c r="C75" s="9" t="s">
        <v>12</v>
      </c>
      <c r="D75" s="76"/>
      <c r="E75" s="9"/>
      <c r="F75" s="87"/>
      <c r="G75" s="92"/>
      <c r="H75" s="88"/>
      <c r="I75" s="90">
        <f>+'재무상태표-사이트별(2018.12.31)'!R78</f>
        <v>122009408459</v>
      </c>
      <c r="J75" s="91"/>
      <c r="K75" s="93"/>
      <c r="L75" s="87"/>
      <c r="M75" s="92"/>
      <c r="N75" s="88"/>
      <c r="O75" s="90">
        <v>122009408459</v>
      </c>
      <c r="P75" s="33"/>
    </row>
    <row r="76" spans="1:16" ht="19.5" customHeight="1">
      <c r="A76" s="45" t="s">
        <v>3</v>
      </c>
      <c r="B76" s="489" t="s">
        <v>111</v>
      </c>
      <c r="C76" s="489"/>
      <c r="D76" s="105"/>
      <c r="E76" s="47"/>
      <c r="F76" s="111"/>
      <c r="G76" s="118"/>
      <c r="H76" s="112"/>
      <c r="I76" s="109">
        <f>+I77</f>
        <v>11121228838</v>
      </c>
      <c r="J76" s="110"/>
      <c r="K76" s="119"/>
      <c r="L76" s="111"/>
      <c r="M76" s="118"/>
      <c r="N76" s="112"/>
      <c r="O76" s="109">
        <f>+O77</f>
        <v>11121228838</v>
      </c>
      <c r="P76" s="33"/>
    </row>
    <row r="77" spans="1:16" ht="17.25" customHeight="1">
      <c r="A77" s="20"/>
      <c r="B77" s="130">
        <v>1</v>
      </c>
      <c r="C77" s="9" t="s">
        <v>110</v>
      </c>
      <c r="D77" s="76"/>
      <c r="E77" s="9"/>
      <c r="F77" s="87"/>
      <c r="G77" s="92"/>
      <c r="H77" s="88"/>
      <c r="I77" s="96">
        <f>+'재무상태표-사이트별(2018.12.31)'!R80+'재무상태표-사이트별(2018.12.31)'!R82</f>
        <v>11121228838</v>
      </c>
      <c r="J77" s="97"/>
      <c r="K77" s="98"/>
      <c r="L77" s="87"/>
      <c r="M77" s="92"/>
      <c r="N77" s="88"/>
      <c r="O77" s="96">
        <v>11121228838</v>
      </c>
      <c r="P77" s="33"/>
    </row>
    <row r="78" spans="1:16" ht="19.5" customHeight="1">
      <c r="A78" s="45" t="s">
        <v>27</v>
      </c>
      <c r="B78" s="489" t="s">
        <v>192</v>
      </c>
      <c r="C78" s="489"/>
      <c r="D78" s="105"/>
      <c r="E78" s="47"/>
      <c r="F78" s="111"/>
      <c r="G78" s="118"/>
      <c r="H78" s="112"/>
      <c r="I78" s="109">
        <f>+I79</f>
        <v>23220000</v>
      </c>
      <c r="J78" s="110"/>
      <c r="K78" s="119"/>
      <c r="L78" s="111"/>
      <c r="M78" s="118"/>
      <c r="N78" s="112"/>
      <c r="O78" s="109">
        <f>+O79</f>
        <v>38080000</v>
      </c>
      <c r="P78" s="33"/>
    </row>
    <row r="79" spans="1:16" ht="17.25" customHeight="1">
      <c r="A79" s="19"/>
      <c r="B79" s="130">
        <v>1</v>
      </c>
      <c r="C79" s="9" t="s">
        <v>193</v>
      </c>
      <c r="D79" s="76"/>
      <c r="E79" s="9"/>
      <c r="F79" s="87"/>
      <c r="G79" s="92"/>
      <c r="H79" s="88"/>
      <c r="I79" s="90">
        <f>+'재무상태표-사이트별(2018.12.31)'!R85</f>
        <v>23220000</v>
      </c>
      <c r="J79" s="91"/>
      <c r="K79" s="93"/>
      <c r="L79" s="87"/>
      <c r="M79" s="92"/>
      <c r="N79" s="88"/>
      <c r="O79" s="90">
        <v>38080000</v>
      </c>
      <c r="P79" s="33"/>
    </row>
    <row r="80" spans="1:16" ht="19.5" customHeight="1">
      <c r="A80" s="45" t="s">
        <v>18</v>
      </c>
      <c r="B80" s="489" t="s">
        <v>166</v>
      </c>
      <c r="C80" s="489"/>
      <c r="D80" s="105"/>
      <c r="E80" s="47"/>
      <c r="F80" s="111"/>
      <c r="G80" s="118"/>
      <c r="H80" s="112"/>
      <c r="I80" s="109">
        <f>SUM(I81:I82)</f>
        <v>243027955</v>
      </c>
      <c r="J80" s="110"/>
      <c r="K80" s="119"/>
      <c r="L80" s="111"/>
      <c r="M80" s="118"/>
      <c r="N80" s="112"/>
      <c r="O80" s="109">
        <f>SUM(O81:O82)</f>
        <v>1286482362</v>
      </c>
      <c r="P80" s="33"/>
    </row>
    <row r="81" spans="1:16" ht="17.25" customHeight="1">
      <c r="A81" s="20"/>
      <c r="B81" s="130">
        <v>1</v>
      </c>
      <c r="C81" s="9" t="s">
        <v>93</v>
      </c>
      <c r="D81" s="76"/>
      <c r="E81" s="9"/>
      <c r="F81" s="87"/>
      <c r="G81" s="92"/>
      <c r="H81" s="88"/>
      <c r="I81" s="90">
        <f>+'재무상태표-사이트별(2018.12.31)'!R87</f>
        <v>2500000000</v>
      </c>
      <c r="J81" s="91"/>
      <c r="K81" s="93"/>
      <c r="L81" s="87"/>
      <c r="M81" s="92"/>
      <c r="N81" s="88"/>
      <c r="O81" s="90">
        <v>1950000000</v>
      </c>
      <c r="P81" s="33"/>
    </row>
    <row r="82" spans="1:16" ht="17.25" customHeight="1">
      <c r="A82" s="19"/>
      <c r="B82" s="130">
        <v>2</v>
      </c>
      <c r="C82" s="9" t="s">
        <v>139</v>
      </c>
      <c r="D82" s="76"/>
      <c r="E82" s="9"/>
      <c r="F82" s="87"/>
      <c r="G82" s="92"/>
      <c r="H82" s="88"/>
      <c r="I82" s="99">
        <f>+'재무상태표-사이트별(2018.12.31)'!R88+'재무상태표-사이트별(2018.12.31)'!R89</f>
        <v>-2256972045</v>
      </c>
      <c r="J82" s="100"/>
      <c r="K82" s="101"/>
      <c r="L82" s="87"/>
      <c r="M82" s="92"/>
      <c r="N82" s="88"/>
      <c r="O82" s="99">
        <v>-663517638</v>
      </c>
      <c r="P82" s="33"/>
    </row>
    <row r="83" spans="1:16" ht="17.25" customHeight="1">
      <c r="A83" s="19"/>
      <c r="B83" s="14"/>
      <c r="C83" s="9" t="s">
        <v>262</v>
      </c>
      <c r="D83" s="31"/>
      <c r="E83" s="15"/>
      <c r="F83" s="87"/>
      <c r="G83" s="92"/>
      <c r="H83" s="88"/>
      <c r="I83" s="90"/>
      <c r="J83" s="91"/>
      <c r="K83" s="93"/>
      <c r="L83" s="87"/>
      <c r="M83" s="92"/>
      <c r="N83" s="88"/>
      <c r="O83" s="90"/>
      <c r="P83" s="33"/>
    </row>
    <row r="84" spans="1:16" ht="17.25" customHeight="1">
      <c r="A84" s="19"/>
      <c r="B84" s="67"/>
      <c r="C84" s="370" t="s">
        <v>445</v>
      </c>
      <c r="D84" s="78"/>
      <c r="E84" s="66"/>
      <c r="F84" s="87"/>
      <c r="G84" s="92"/>
      <c r="H84" s="88"/>
      <c r="I84" s="87"/>
      <c r="J84" s="92"/>
      <c r="K84" s="88"/>
      <c r="L84" s="87"/>
      <c r="M84" s="92"/>
      <c r="N84" s="88"/>
      <c r="O84" s="87"/>
      <c r="P84" s="33"/>
    </row>
    <row r="85" spans="1:16" ht="17.25" customHeight="1">
      <c r="A85" s="19"/>
      <c r="B85" s="68"/>
      <c r="C85" s="370" t="s">
        <v>411</v>
      </c>
      <c r="D85" s="78"/>
      <c r="E85" s="66"/>
      <c r="F85" s="87"/>
      <c r="G85" s="92"/>
      <c r="H85" s="88"/>
      <c r="I85" s="87"/>
      <c r="J85" s="92"/>
      <c r="K85" s="88"/>
      <c r="L85" s="87"/>
      <c r="M85" s="92"/>
      <c r="N85" s="88"/>
      <c r="O85" s="87"/>
      <c r="P85" s="33"/>
    </row>
    <row r="86" spans="1:16" ht="19.5" customHeight="1">
      <c r="A86" s="21"/>
      <c r="B86" s="490" t="s">
        <v>33</v>
      </c>
      <c r="C86" s="490"/>
      <c r="D86" s="105"/>
      <c r="E86" s="47"/>
      <c r="F86" s="111"/>
      <c r="G86" s="118"/>
      <c r="H86" s="112"/>
      <c r="I86" s="122">
        <f>+I74+I76+I78+I80</f>
        <v>133396885252</v>
      </c>
      <c r="J86" s="110"/>
      <c r="K86" s="119"/>
      <c r="L86" s="111"/>
      <c r="M86" s="118"/>
      <c r="N86" s="112"/>
      <c r="O86" s="122">
        <f>+O74+O76+O78+O80</f>
        <v>134455199659</v>
      </c>
      <c r="P86" s="33"/>
    </row>
    <row r="87" spans="1:16" ht="19.5" customHeight="1" thickBot="1">
      <c r="A87" s="21"/>
      <c r="B87" s="490" t="s">
        <v>34</v>
      </c>
      <c r="C87" s="490"/>
      <c r="D87" s="105"/>
      <c r="E87" s="47"/>
      <c r="F87" s="123">
        <v>0</v>
      </c>
      <c r="G87" s="124"/>
      <c r="H87" s="125"/>
      <c r="I87" s="126">
        <f>+I72+I86</f>
        <v>147606103076</v>
      </c>
      <c r="J87" s="127"/>
      <c r="K87" s="128"/>
      <c r="L87" s="123">
        <v>0</v>
      </c>
      <c r="M87" s="124"/>
      <c r="N87" s="125"/>
      <c r="O87" s="126">
        <f>+O72+O86</f>
        <v>147341065363</v>
      </c>
      <c r="P87" s="33"/>
    </row>
    <row r="88" spans="1:16" ht="6.75" customHeight="1" thickBot="1" thickTop="1">
      <c r="A88" s="22"/>
      <c r="B88" s="23"/>
      <c r="C88" s="23"/>
      <c r="D88" s="79"/>
      <c r="E88" s="23"/>
      <c r="F88" s="113"/>
      <c r="G88" s="114"/>
      <c r="H88" s="113"/>
      <c r="I88" s="116"/>
      <c r="J88" s="114"/>
      <c r="K88" s="115"/>
      <c r="L88" s="113"/>
      <c r="M88" s="114"/>
      <c r="N88" s="113"/>
      <c r="O88" s="116"/>
      <c r="P88" s="34"/>
    </row>
    <row r="89" spans="1:15" ht="19.5" customHeight="1">
      <c r="A89" s="491"/>
      <c r="B89" s="491"/>
      <c r="C89" s="491"/>
      <c r="D89" s="491"/>
      <c r="E89" s="491"/>
      <c r="F89" s="491"/>
      <c r="G89" s="491"/>
      <c r="H89" s="491"/>
      <c r="I89" s="491"/>
      <c r="J89" s="491"/>
      <c r="K89" s="491"/>
      <c r="L89" s="491"/>
      <c r="M89" s="491"/>
      <c r="N89" s="491"/>
      <c r="O89" s="491"/>
    </row>
    <row r="90" spans="6:15" ht="19.5" customHeight="1">
      <c r="F90" s="1"/>
      <c r="G90" s="1"/>
      <c r="H90" s="1"/>
      <c r="I90" s="367">
        <f aca="true" t="shared" si="1" ref="I90:O90">+I54-I72-I86</f>
        <v>0</v>
      </c>
      <c r="J90" s="367">
        <f t="shared" si="1"/>
        <v>0</v>
      </c>
      <c r="K90" s="367">
        <f t="shared" si="1"/>
        <v>0</v>
      </c>
      <c r="L90" s="367">
        <f t="shared" si="1"/>
        <v>0</v>
      </c>
      <c r="M90" s="367">
        <f t="shared" si="1"/>
        <v>0</v>
      </c>
      <c r="N90" s="367">
        <f t="shared" si="1"/>
        <v>0</v>
      </c>
      <c r="O90" s="367">
        <f t="shared" si="1"/>
        <v>0</v>
      </c>
    </row>
    <row r="91" spans="9:11" ht="19.5" customHeight="1">
      <c r="I91" s="29"/>
      <c r="J91" s="29"/>
      <c r="K91" s="29"/>
    </row>
    <row r="92" spans="9:11" ht="19.5" customHeight="1">
      <c r="I92" s="29"/>
      <c r="J92" s="29"/>
      <c r="K92" s="29"/>
    </row>
    <row r="93" spans="9:11" ht="19.5" customHeight="1">
      <c r="I93" s="29"/>
      <c r="J93" s="29"/>
      <c r="K93" s="29"/>
    </row>
    <row r="94" spans="9:11" ht="19.5" customHeight="1">
      <c r="I94" s="29"/>
      <c r="J94" s="29"/>
      <c r="K94" s="29"/>
    </row>
  </sheetData>
  <sheetProtection/>
  <mergeCells count="25">
    <mergeCell ref="B86:C86"/>
    <mergeCell ref="B87:C87"/>
    <mergeCell ref="A89:O89"/>
    <mergeCell ref="B67:C67"/>
    <mergeCell ref="B72:C72"/>
    <mergeCell ref="B73:C73"/>
    <mergeCell ref="B74:C74"/>
    <mergeCell ref="B76:C76"/>
    <mergeCell ref="B80:C80"/>
    <mergeCell ref="B78:C78"/>
    <mergeCell ref="B9:C9"/>
    <mergeCell ref="B10:C10"/>
    <mergeCell ref="B26:C26"/>
    <mergeCell ref="B54:C54"/>
    <mergeCell ref="B55:C55"/>
    <mergeCell ref="B56:C56"/>
    <mergeCell ref="A1:O1"/>
    <mergeCell ref="A3:O3"/>
    <mergeCell ref="A4:O4"/>
    <mergeCell ref="O5:P5"/>
    <mergeCell ref="A6:D7"/>
    <mergeCell ref="F6:I6"/>
    <mergeCell ref="L6:O6"/>
    <mergeCell ref="F7:I7"/>
    <mergeCell ref="L7:O7"/>
  </mergeCells>
  <conditionalFormatting sqref="M87:N87 G87:H87">
    <cfRule type="cellIs" priority="12" dxfId="2" operator="notEqual" stopIfTrue="1">
      <formula>0</formula>
    </cfRule>
  </conditionalFormatting>
  <conditionalFormatting sqref="L87 F87">
    <cfRule type="cellIs" priority="10" dxfId="3" operator="notEqual" stopIfTrue="1">
      <formula>0</formula>
    </cfRule>
  </conditionalFormatting>
  <printOptions horizontalCentered="1"/>
  <pageMargins left="0.53" right="0.31496062992125984" top="0.85" bottom="0.54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8"/>
  <sheetViews>
    <sheetView zoomScale="120" zoomScaleNormal="120" zoomScalePageLayoutView="0" workbookViewId="0" topLeftCell="A1">
      <pane xSplit="4" ySplit="5" topLeftCell="E18" activePane="bottomRight" state="frozen"/>
      <selection pane="topLeft" activeCell="S93" sqref="S93"/>
      <selection pane="topRight" activeCell="S93" sqref="S93"/>
      <selection pane="bottomLeft" activeCell="S93" sqref="S93"/>
      <selection pane="bottomRight" activeCell="F26" sqref="F26"/>
    </sheetView>
  </sheetViews>
  <sheetFormatPr defaultColWidth="8.88671875" defaultRowHeight="19.5" customHeight="1"/>
  <cols>
    <col min="1" max="1" width="2.6640625" style="219" customWidth="1"/>
    <col min="2" max="2" width="4.21484375" style="219" customWidth="1"/>
    <col min="3" max="3" width="16.4453125" style="219" customWidth="1"/>
    <col min="4" max="4" width="1.5625" style="219" customWidth="1"/>
    <col min="5" max="5" width="15.10546875" style="221" customWidth="1"/>
    <col min="6" max="6" width="15.77734375" style="221" customWidth="1"/>
    <col min="7" max="7" width="14.21484375" style="221" bestFit="1" customWidth="1"/>
    <col min="8" max="8" width="14.99609375" style="221" customWidth="1"/>
    <col min="9" max="9" width="12.99609375" style="221" customWidth="1"/>
    <col min="10" max="10" width="14.10546875" style="221" customWidth="1"/>
    <col min="11" max="11" width="13.3359375" style="221" customWidth="1"/>
    <col min="12" max="12" width="14.3359375" style="221" customWidth="1"/>
    <col min="13" max="13" width="8.99609375" style="221" customWidth="1"/>
    <col min="14" max="14" width="12.5546875" style="221" customWidth="1"/>
    <col min="15" max="15" width="12.77734375" style="221" customWidth="1"/>
    <col min="16" max="16" width="15.5546875" style="221" customWidth="1"/>
    <col min="17" max="17" width="12.88671875" style="221" customWidth="1"/>
    <col min="18" max="18" width="16.6640625" style="221" customWidth="1"/>
    <col min="19" max="19" width="16.21484375" style="218" bestFit="1" customWidth="1"/>
    <col min="20" max="20" width="12.4453125" style="219" bestFit="1" customWidth="1"/>
    <col min="21" max="16384" width="8.88671875" style="219" customWidth="1"/>
  </cols>
  <sheetData>
    <row r="1" spans="1:18" ht="28.5" customHeight="1">
      <c r="A1" s="492" t="s">
        <v>265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</row>
    <row r="2" spans="1:21" ht="28.5" customHeight="1">
      <c r="A2" s="220"/>
      <c r="K2" s="222" t="s">
        <v>198</v>
      </c>
      <c r="L2" s="222"/>
      <c r="M2" s="223" t="s">
        <v>198</v>
      </c>
      <c r="N2" s="223"/>
      <c r="O2" s="223"/>
      <c r="P2" s="223"/>
      <c r="Q2" s="223"/>
      <c r="R2" s="223" t="s">
        <v>198</v>
      </c>
      <c r="U2" s="219" t="s">
        <v>198</v>
      </c>
    </row>
    <row r="3" spans="1:18" ht="28.5" customHeight="1">
      <c r="A3" s="493" t="s">
        <v>413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</row>
    <row r="4" spans="1:18" ht="28.5" customHeight="1" thickBot="1">
      <c r="A4" s="224" t="s">
        <v>38</v>
      </c>
      <c r="R4" s="225" t="s">
        <v>199</v>
      </c>
    </row>
    <row r="5" spans="1:19" s="232" customFormat="1" ht="26.25" customHeight="1" thickBot="1">
      <c r="A5" s="226"/>
      <c r="B5" s="227"/>
      <c r="C5" s="227"/>
      <c r="D5" s="228"/>
      <c r="E5" s="229" t="s">
        <v>200</v>
      </c>
      <c r="F5" s="230" t="s">
        <v>201</v>
      </c>
      <c r="G5" s="230" t="s">
        <v>202</v>
      </c>
      <c r="H5" s="230" t="s">
        <v>203</v>
      </c>
      <c r="I5" s="230" t="s">
        <v>204</v>
      </c>
      <c r="J5" s="230" t="s">
        <v>205</v>
      </c>
      <c r="K5" s="230" t="s">
        <v>206</v>
      </c>
      <c r="L5" s="230" t="s">
        <v>207</v>
      </c>
      <c r="M5" s="230" t="s">
        <v>208</v>
      </c>
      <c r="N5" s="230" t="s">
        <v>209</v>
      </c>
      <c r="O5" s="230" t="s">
        <v>210</v>
      </c>
      <c r="P5" s="230" t="s">
        <v>211</v>
      </c>
      <c r="Q5" s="230" t="s">
        <v>212</v>
      </c>
      <c r="R5" s="230" t="s">
        <v>213</v>
      </c>
      <c r="S5" s="231"/>
    </row>
    <row r="6" spans="1:18" ht="26.25" customHeight="1">
      <c r="A6" s="233"/>
      <c r="B6" s="234" t="s">
        <v>214</v>
      </c>
      <c r="C6" s="235"/>
      <c r="D6" s="236"/>
      <c r="E6" s="237">
        <v>19252736454</v>
      </c>
      <c r="F6" s="237">
        <f aca="true" t="shared" si="0" ref="F6:R6">+F7+F24</f>
        <v>66876711283</v>
      </c>
      <c r="G6" s="237">
        <f t="shared" si="0"/>
        <v>2251917468</v>
      </c>
      <c r="H6" s="237">
        <f t="shared" si="0"/>
        <v>2308557520</v>
      </c>
      <c r="I6" s="237">
        <f t="shared" si="0"/>
        <v>152191247</v>
      </c>
      <c r="J6" s="237">
        <f t="shared" si="0"/>
        <v>1291532480</v>
      </c>
      <c r="K6" s="237">
        <f t="shared" si="0"/>
        <v>295793932</v>
      </c>
      <c r="L6" s="237">
        <f t="shared" si="0"/>
        <v>438992975</v>
      </c>
      <c r="M6" s="237">
        <f t="shared" si="0"/>
        <v>0</v>
      </c>
      <c r="N6" s="237">
        <f t="shared" si="0"/>
        <v>0</v>
      </c>
      <c r="O6" s="237">
        <f t="shared" si="0"/>
        <v>94660133</v>
      </c>
      <c r="P6" s="237">
        <f t="shared" si="0"/>
        <v>570079268</v>
      </c>
      <c r="Q6" s="237">
        <f t="shared" si="0"/>
        <v>159370858</v>
      </c>
      <c r="R6" s="237">
        <f t="shared" si="0"/>
        <v>74439807164</v>
      </c>
    </row>
    <row r="7" spans="1:18" ht="26.25" customHeight="1">
      <c r="A7" s="233"/>
      <c r="B7" s="234" t="s">
        <v>90</v>
      </c>
      <c r="C7" s="235"/>
      <c r="D7" s="236"/>
      <c r="E7" s="237">
        <v>18933256255</v>
      </c>
      <c r="F7" s="237">
        <f>SUM(F8:F23)</f>
        <v>66876711283</v>
      </c>
      <c r="G7" s="237">
        <f aca="true" t="shared" si="1" ref="G7:R7">SUM(G8:G23)</f>
        <v>2251917468</v>
      </c>
      <c r="H7" s="237">
        <f t="shared" si="1"/>
        <v>1842669474</v>
      </c>
      <c r="I7" s="237">
        <f t="shared" si="1"/>
        <v>42862717</v>
      </c>
      <c r="J7" s="237">
        <f t="shared" si="1"/>
        <v>1201597122</v>
      </c>
      <c r="K7" s="237">
        <f t="shared" si="1"/>
        <v>295793932</v>
      </c>
      <c r="L7" s="237">
        <f t="shared" si="1"/>
        <v>357600676</v>
      </c>
      <c r="M7" s="237">
        <f t="shared" si="1"/>
        <v>0</v>
      </c>
      <c r="N7" s="237">
        <f t="shared" si="1"/>
        <v>0</v>
      </c>
      <c r="O7" s="237">
        <f t="shared" si="1"/>
        <v>92265821</v>
      </c>
      <c r="P7" s="237">
        <f t="shared" si="1"/>
        <v>505928013</v>
      </c>
      <c r="Q7" s="237">
        <f t="shared" si="1"/>
        <v>125910262</v>
      </c>
      <c r="R7" s="237">
        <f t="shared" si="1"/>
        <v>73593256768</v>
      </c>
    </row>
    <row r="8" spans="1:18" ht="26.25" customHeight="1">
      <c r="A8" s="233"/>
      <c r="B8" s="234"/>
      <c r="C8" s="238" t="s">
        <v>215</v>
      </c>
      <c r="D8" s="236"/>
      <c r="E8" s="239">
        <v>8520000</v>
      </c>
      <c r="F8" s="239"/>
      <c r="G8" s="239"/>
      <c r="H8" s="239"/>
      <c r="I8" s="239">
        <v>450000</v>
      </c>
      <c r="J8" s="239">
        <v>1000000</v>
      </c>
      <c r="K8" s="239"/>
      <c r="L8" s="239">
        <v>1069500</v>
      </c>
      <c r="M8" s="239"/>
      <c r="N8" s="239"/>
      <c r="O8" s="239">
        <v>1000000</v>
      </c>
      <c r="P8" s="239">
        <v>1600000</v>
      </c>
      <c r="Q8" s="239">
        <v>2038200</v>
      </c>
      <c r="R8" s="240">
        <f>SUM(F8:Q8)</f>
        <v>7157700</v>
      </c>
    </row>
    <row r="9" spans="1:18" ht="26.25" customHeight="1">
      <c r="A9" s="233"/>
      <c r="B9" s="241"/>
      <c r="C9" s="238" t="s">
        <v>216</v>
      </c>
      <c r="D9" s="242"/>
      <c r="E9" s="240">
        <v>19268520257</v>
      </c>
      <c r="F9" s="240">
        <f>10771587317+1761365000</f>
        <v>12532952317</v>
      </c>
      <c r="G9" s="240">
        <v>1822426436</v>
      </c>
      <c r="H9" s="240">
        <v>1571956631</v>
      </c>
      <c r="I9" s="240">
        <v>300139298</v>
      </c>
      <c r="J9" s="240">
        <v>1158720601</v>
      </c>
      <c r="K9" s="240">
        <v>300651365</v>
      </c>
      <c r="L9" s="240">
        <v>360722025</v>
      </c>
      <c r="M9" s="240"/>
      <c r="N9" s="240"/>
      <c r="O9" s="240">
        <v>90027614</v>
      </c>
      <c r="P9" s="240">
        <v>189812062</v>
      </c>
      <c r="Q9" s="240">
        <v>96998454</v>
      </c>
      <c r="R9" s="240">
        <f>SUM(F9:Q9)</f>
        <v>18424406803</v>
      </c>
    </row>
    <row r="10" spans="1:18" ht="26.25" customHeight="1">
      <c r="A10" s="233"/>
      <c r="B10" s="241"/>
      <c r="C10" s="238" t="s">
        <v>1</v>
      </c>
      <c r="D10" s="242"/>
      <c r="E10" s="240">
        <v>0</v>
      </c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>
        <f aca="true" t="shared" si="2" ref="R10:R26">SUM(F10:Q10)</f>
        <v>0</v>
      </c>
    </row>
    <row r="11" spans="1:18" ht="26.25" customHeight="1">
      <c r="A11" s="233"/>
      <c r="B11" s="241"/>
      <c r="C11" s="238" t="s">
        <v>170</v>
      </c>
      <c r="D11" s="242"/>
      <c r="E11" s="240">
        <v>440021808</v>
      </c>
      <c r="F11" s="240"/>
      <c r="G11" s="240"/>
      <c r="H11" s="240">
        <v>270266269</v>
      </c>
      <c r="I11" s="240"/>
      <c r="J11" s="240"/>
      <c r="K11" s="240"/>
      <c r="L11" s="240"/>
      <c r="M11" s="240"/>
      <c r="N11" s="240"/>
      <c r="O11" s="240"/>
      <c r="P11" s="240"/>
      <c r="Q11" s="240"/>
      <c r="R11" s="240">
        <f t="shared" si="2"/>
        <v>270266269</v>
      </c>
    </row>
    <row r="12" spans="1:18" ht="26.25" customHeight="1">
      <c r="A12" s="233"/>
      <c r="B12" s="241"/>
      <c r="C12" s="238" t="s">
        <v>2</v>
      </c>
      <c r="D12" s="242"/>
      <c r="E12" s="240">
        <v>564624765</v>
      </c>
      <c r="F12" s="240">
        <v>448709930</v>
      </c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>
        <f t="shared" si="2"/>
        <v>448709930</v>
      </c>
    </row>
    <row r="13" spans="1:19" s="232" customFormat="1" ht="26.25" customHeight="1">
      <c r="A13" s="383"/>
      <c r="B13" s="384"/>
      <c r="C13" s="385" t="s">
        <v>57</v>
      </c>
      <c r="D13" s="386"/>
      <c r="E13" s="368">
        <v>114891602</v>
      </c>
      <c r="F13" s="368">
        <v>40101481</v>
      </c>
      <c r="G13" s="368"/>
      <c r="H13" s="368">
        <v>4400</v>
      </c>
      <c r="I13" s="368">
        <v>3059007</v>
      </c>
      <c r="J13" s="368">
        <v>7512905</v>
      </c>
      <c r="K13" s="368">
        <v>4748700</v>
      </c>
      <c r="L13" s="368">
        <v>374385</v>
      </c>
      <c r="M13" s="368"/>
      <c r="N13" s="368"/>
      <c r="O13" s="368">
        <v>185005</v>
      </c>
      <c r="P13" s="368">
        <v>14463029</v>
      </c>
      <c r="Q13" s="368">
        <v>16063602</v>
      </c>
      <c r="R13" s="368">
        <f t="shared" si="2"/>
        <v>86512514</v>
      </c>
      <c r="S13" s="231"/>
    </row>
    <row r="14" spans="1:18" ht="26.25" customHeight="1">
      <c r="A14" s="233"/>
      <c r="B14" s="241"/>
      <c r="C14" s="238" t="s">
        <v>217</v>
      </c>
      <c r="D14" s="242"/>
      <c r="E14" s="240">
        <v>0</v>
      </c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>
        <f t="shared" si="2"/>
        <v>0</v>
      </c>
    </row>
    <row r="15" spans="1:18" ht="26.25" customHeight="1">
      <c r="A15" s="233"/>
      <c r="B15" s="241"/>
      <c r="C15" s="238" t="s">
        <v>218</v>
      </c>
      <c r="D15" s="242"/>
      <c r="E15" s="240">
        <v>37091227</v>
      </c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>
        <v>35755186</v>
      </c>
      <c r="Q15" s="240"/>
      <c r="R15" s="240">
        <f t="shared" si="2"/>
        <v>35755186</v>
      </c>
    </row>
    <row r="16" spans="1:18" ht="26.25" customHeight="1">
      <c r="A16" s="233"/>
      <c r="B16" s="241"/>
      <c r="C16" s="238" t="s">
        <v>219</v>
      </c>
      <c r="D16" s="242"/>
      <c r="E16" s="240">
        <v>0</v>
      </c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>
        <f t="shared" si="2"/>
        <v>0</v>
      </c>
    </row>
    <row r="17" spans="1:18" ht="26.25" customHeight="1">
      <c r="A17" s="233"/>
      <c r="B17" s="241"/>
      <c r="C17" s="238" t="s">
        <v>164</v>
      </c>
      <c r="D17" s="242"/>
      <c r="E17" s="240">
        <v>1314635</v>
      </c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>
        <f t="shared" si="2"/>
        <v>0</v>
      </c>
    </row>
    <row r="18" spans="1:18" ht="26.25" customHeight="1">
      <c r="A18" s="233"/>
      <c r="B18" s="241"/>
      <c r="C18" s="238" t="s">
        <v>183</v>
      </c>
      <c r="D18" s="242"/>
      <c r="E18" s="240">
        <v>19814745</v>
      </c>
      <c r="F18" s="240">
        <v>1363162</v>
      </c>
      <c r="G18" s="240"/>
      <c r="H18" s="240">
        <v>134134</v>
      </c>
      <c r="I18" s="240">
        <v>2799085</v>
      </c>
      <c r="J18" s="240">
        <v>7442841</v>
      </c>
      <c r="K18" s="240">
        <v>518065</v>
      </c>
      <c r="L18" s="240">
        <v>2514706</v>
      </c>
      <c r="M18" s="240"/>
      <c r="N18" s="240"/>
      <c r="O18" s="240">
        <v>1050662</v>
      </c>
      <c r="P18" s="240">
        <v>2347830</v>
      </c>
      <c r="Q18" s="240">
        <v>3634239</v>
      </c>
      <c r="R18" s="240">
        <f t="shared" si="2"/>
        <v>21804724</v>
      </c>
    </row>
    <row r="19" spans="1:18" ht="26.25" customHeight="1">
      <c r="A19" s="233"/>
      <c r="B19" s="241"/>
      <c r="C19" s="238" t="s">
        <v>46</v>
      </c>
      <c r="D19" s="242"/>
      <c r="E19" s="240">
        <v>0</v>
      </c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>
        <f t="shared" si="2"/>
        <v>0</v>
      </c>
    </row>
    <row r="20" spans="1:19" s="249" customFormat="1" ht="26.25" customHeight="1">
      <c r="A20" s="243"/>
      <c r="B20" s="244"/>
      <c r="C20" s="245" t="s">
        <v>220</v>
      </c>
      <c r="D20" s="246"/>
      <c r="E20" s="247">
        <v>-2142143664</v>
      </c>
      <c r="F20" s="247">
        <v>1859166909</v>
      </c>
      <c r="G20" s="247">
        <v>428872972</v>
      </c>
      <c r="H20" s="247"/>
      <c r="I20" s="247">
        <v>-263636793</v>
      </c>
      <c r="J20" s="247">
        <v>26758565</v>
      </c>
      <c r="K20" s="247">
        <v>-10271188</v>
      </c>
      <c r="L20" s="247">
        <v>-7118430</v>
      </c>
      <c r="M20" s="247"/>
      <c r="N20" s="247"/>
      <c r="O20" s="247"/>
      <c r="P20" s="247">
        <v>261836916</v>
      </c>
      <c r="Q20" s="247">
        <v>7153187</v>
      </c>
      <c r="R20" s="247">
        <f t="shared" si="2"/>
        <v>2302762138</v>
      </c>
      <c r="S20" s="248">
        <f>+R20-R69</f>
        <v>0</v>
      </c>
    </row>
    <row r="21" spans="1:18" ht="26.25" customHeight="1">
      <c r="A21" s="233"/>
      <c r="B21" s="241"/>
      <c r="C21" s="238" t="s">
        <v>171</v>
      </c>
      <c r="D21" s="242"/>
      <c r="E21" s="240">
        <v>564184220</v>
      </c>
      <c r="F21" s="240">
        <v>567714600</v>
      </c>
      <c r="G21" s="240">
        <v>562030</v>
      </c>
      <c r="H21" s="240">
        <v>280190</v>
      </c>
      <c r="I21" s="240">
        <v>47440</v>
      </c>
      <c r="J21" s="240">
        <v>147510</v>
      </c>
      <c r="K21" s="240">
        <v>133670</v>
      </c>
      <c r="L21" s="240">
        <v>35010</v>
      </c>
      <c r="M21" s="240"/>
      <c r="N21" s="240"/>
      <c r="O21" s="240">
        <v>2320</v>
      </c>
      <c r="P21" s="240">
        <v>102780</v>
      </c>
      <c r="Q21" s="240">
        <v>20580</v>
      </c>
      <c r="R21" s="240">
        <f t="shared" si="2"/>
        <v>569046130</v>
      </c>
    </row>
    <row r="22" spans="1:18" ht="26.25" customHeight="1">
      <c r="A22" s="233"/>
      <c r="B22" s="241"/>
      <c r="C22" s="238" t="s">
        <v>196</v>
      </c>
      <c r="D22" s="242"/>
      <c r="E22" s="240">
        <v>56416660</v>
      </c>
      <c r="F22" s="240">
        <v>56770570</v>
      </c>
      <c r="G22" s="240">
        <v>56030</v>
      </c>
      <c r="H22" s="240">
        <v>27850</v>
      </c>
      <c r="I22" s="240">
        <v>4680</v>
      </c>
      <c r="J22" s="240">
        <v>14700</v>
      </c>
      <c r="K22" s="240">
        <v>13320</v>
      </c>
      <c r="L22" s="240">
        <v>3480</v>
      </c>
      <c r="M22" s="240"/>
      <c r="N22" s="240"/>
      <c r="O22" s="240">
        <v>220</v>
      </c>
      <c r="P22" s="240">
        <v>10210</v>
      </c>
      <c r="Q22" s="240">
        <v>2000</v>
      </c>
      <c r="R22" s="240">
        <f>SUM(F22:Q22)</f>
        <v>56903060</v>
      </c>
    </row>
    <row r="23" spans="1:18" ht="26.25" customHeight="1">
      <c r="A23" s="233"/>
      <c r="B23" s="241"/>
      <c r="C23" s="238" t="s">
        <v>446</v>
      </c>
      <c r="D23" s="242"/>
      <c r="E23" s="240"/>
      <c r="F23" s="240">
        <v>51369932314</v>
      </c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>
        <f t="shared" si="2"/>
        <v>51369932314</v>
      </c>
    </row>
    <row r="24" spans="1:18" ht="26.25" customHeight="1">
      <c r="A24" s="233"/>
      <c r="B24" s="234" t="s">
        <v>92</v>
      </c>
      <c r="C24" s="238"/>
      <c r="D24" s="242"/>
      <c r="E24" s="250">
        <v>319480199</v>
      </c>
      <c r="F24" s="250">
        <f>+F25+F26</f>
        <v>0</v>
      </c>
      <c r="G24" s="250">
        <f>+G25+G26</f>
        <v>0</v>
      </c>
      <c r="H24" s="250">
        <f>+H25+H26</f>
        <v>465888046</v>
      </c>
      <c r="I24" s="250">
        <f aca="true" t="shared" si="3" ref="I24:Q24">+I25+I26</f>
        <v>109328530</v>
      </c>
      <c r="J24" s="250">
        <f t="shared" si="3"/>
        <v>89935358</v>
      </c>
      <c r="K24" s="250">
        <f t="shared" si="3"/>
        <v>0</v>
      </c>
      <c r="L24" s="250">
        <f t="shared" si="3"/>
        <v>81392299</v>
      </c>
      <c r="M24" s="250">
        <f t="shared" si="3"/>
        <v>0</v>
      </c>
      <c r="N24" s="250">
        <f t="shared" si="3"/>
        <v>0</v>
      </c>
      <c r="O24" s="250">
        <f t="shared" si="3"/>
        <v>2394312</v>
      </c>
      <c r="P24" s="250">
        <f t="shared" si="3"/>
        <v>64151255</v>
      </c>
      <c r="Q24" s="250">
        <f t="shared" si="3"/>
        <v>33460596</v>
      </c>
      <c r="R24" s="251">
        <f t="shared" si="2"/>
        <v>846550396</v>
      </c>
    </row>
    <row r="25" spans="1:18" ht="26.25" customHeight="1">
      <c r="A25" s="233"/>
      <c r="B25" s="234"/>
      <c r="C25" s="238" t="s">
        <v>184</v>
      </c>
      <c r="D25" s="242"/>
      <c r="E25" s="240">
        <v>318332916</v>
      </c>
      <c r="F25" s="252">
        <v>0</v>
      </c>
      <c r="G25" s="250"/>
      <c r="H25" s="250"/>
      <c r="I25" s="252">
        <v>109328530</v>
      </c>
      <c r="J25" s="252">
        <v>89935358</v>
      </c>
      <c r="K25" s="250"/>
      <c r="L25" s="252">
        <v>81392299</v>
      </c>
      <c r="M25" s="250"/>
      <c r="N25" s="252">
        <v>0</v>
      </c>
      <c r="O25" s="252">
        <v>2394312</v>
      </c>
      <c r="P25" s="252">
        <v>64151255</v>
      </c>
      <c r="Q25" s="252">
        <v>33460596</v>
      </c>
      <c r="R25" s="240">
        <f t="shared" si="2"/>
        <v>380662350</v>
      </c>
    </row>
    <row r="26" spans="1:18" ht="26.25" customHeight="1">
      <c r="A26" s="233"/>
      <c r="B26" s="253"/>
      <c r="C26" s="238" t="s">
        <v>172</v>
      </c>
      <c r="D26" s="242"/>
      <c r="E26" s="240">
        <v>1147283</v>
      </c>
      <c r="F26" s="240"/>
      <c r="G26" s="240"/>
      <c r="H26" s="368">
        <v>465888046</v>
      </c>
      <c r="I26" s="240"/>
      <c r="J26" s="240"/>
      <c r="K26" s="240"/>
      <c r="L26" s="240"/>
      <c r="M26" s="240"/>
      <c r="N26" s="240"/>
      <c r="O26" s="240"/>
      <c r="P26" s="240"/>
      <c r="Q26" s="240"/>
      <c r="R26" s="240">
        <f t="shared" si="2"/>
        <v>465888046</v>
      </c>
    </row>
    <row r="27" spans="1:18" ht="26.25" customHeight="1">
      <c r="A27" s="233"/>
      <c r="B27" s="234" t="s">
        <v>113</v>
      </c>
      <c r="C27" s="238"/>
      <c r="D27" s="242"/>
      <c r="E27" s="250">
        <v>126656766477</v>
      </c>
      <c r="F27" s="250">
        <f aca="true" t="shared" si="4" ref="F27:R27">+F28+F32+F49</f>
        <v>67089946020</v>
      </c>
      <c r="G27" s="250">
        <f t="shared" si="4"/>
        <v>0</v>
      </c>
      <c r="H27" s="250">
        <f t="shared" si="4"/>
        <v>288328492</v>
      </c>
      <c r="I27" s="250">
        <f t="shared" si="4"/>
        <v>2096670430</v>
      </c>
      <c r="J27" s="250">
        <f t="shared" si="4"/>
        <v>3282649664</v>
      </c>
      <c r="K27" s="250">
        <f t="shared" si="4"/>
        <v>38578684</v>
      </c>
      <c r="L27" s="250">
        <f t="shared" si="4"/>
        <v>1649625127</v>
      </c>
      <c r="M27" s="250">
        <f t="shared" si="4"/>
        <v>0</v>
      </c>
      <c r="N27" s="250">
        <f>+N28+N32+N49</f>
        <v>0</v>
      </c>
      <c r="O27" s="250">
        <f>+O28+O32+O49</f>
        <v>1302101464</v>
      </c>
      <c r="P27" s="250">
        <f>+P28+P32+P49</f>
        <v>31357679</v>
      </c>
      <c r="Q27" s="250">
        <f>+Q28+Q32+Q49</f>
        <v>361643803</v>
      </c>
      <c r="R27" s="250">
        <f t="shared" si="4"/>
        <v>76140901363</v>
      </c>
    </row>
    <row r="28" spans="1:18" ht="26.25" customHeight="1">
      <c r="A28" s="233"/>
      <c r="B28" s="234" t="s">
        <v>96</v>
      </c>
      <c r="C28" s="238"/>
      <c r="D28" s="242"/>
      <c r="E28" s="250">
        <v>105968134971</v>
      </c>
      <c r="F28" s="250">
        <f>SUM(F29:F31)</f>
        <v>54269961178</v>
      </c>
      <c r="G28" s="250">
        <f aca="true" t="shared" si="5" ref="G28:R28">SUM(G29:G31)</f>
        <v>0</v>
      </c>
      <c r="H28" s="250">
        <f t="shared" si="5"/>
        <v>67784030</v>
      </c>
      <c r="I28" s="250">
        <f t="shared" si="5"/>
        <v>65890300</v>
      </c>
      <c r="J28" s="250">
        <f t="shared" si="5"/>
        <v>8509720</v>
      </c>
      <c r="K28" s="250">
        <f t="shared" si="5"/>
        <v>25980380</v>
      </c>
      <c r="L28" s="250">
        <f t="shared" si="5"/>
        <v>13526090</v>
      </c>
      <c r="M28" s="250">
        <f t="shared" si="5"/>
        <v>0</v>
      </c>
      <c r="N28" s="250">
        <f t="shared" si="5"/>
        <v>0</v>
      </c>
      <c r="O28" s="250">
        <f t="shared" si="5"/>
        <v>69380130</v>
      </c>
      <c r="P28" s="250">
        <f t="shared" si="5"/>
        <v>0</v>
      </c>
      <c r="Q28" s="250">
        <f t="shared" si="5"/>
        <v>23572910</v>
      </c>
      <c r="R28" s="250">
        <f t="shared" si="5"/>
        <v>54544604738</v>
      </c>
    </row>
    <row r="29" spans="1:18" ht="26.25" customHeight="1">
      <c r="A29" s="233"/>
      <c r="B29" s="253"/>
      <c r="C29" s="238" t="s">
        <v>5</v>
      </c>
      <c r="D29" s="242"/>
      <c r="E29" s="240">
        <v>105112773739</v>
      </c>
      <c r="F29" s="240">
        <v>53742841425</v>
      </c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>
        <f>SUM(F29:Q29)</f>
        <v>53742841425</v>
      </c>
    </row>
    <row r="30" spans="1:19" s="364" customFormat="1" ht="26.25" customHeight="1">
      <c r="A30" s="358"/>
      <c r="B30" s="359"/>
      <c r="C30" s="360" t="s">
        <v>221</v>
      </c>
      <c r="D30" s="361"/>
      <c r="E30" s="362">
        <v>710581232</v>
      </c>
      <c r="F30" s="362">
        <v>397199753</v>
      </c>
      <c r="G30" s="362"/>
      <c r="H30" s="362">
        <v>67784030</v>
      </c>
      <c r="I30" s="362">
        <v>65890300</v>
      </c>
      <c r="J30" s="362">
        <v>8509720</v>
      </c>
      <c r="K30" s="362">
        <v>25980380</v>
      </c>
      <c r="L30" s="362">
        <v>13526090</v>
      </c>
      <c r="M30" s="362"/>
      <c r="N30" s="362"/>
      <c r="O30" s="362">
        <v>69380130</v>
      </c>
      <c r="P30" s="362"/>
      <c r="Q30" s="362">
        <v>23572910</v>
      </c>
      <c r="R30" s="240">
        <f>SUM(F30:Q30)</f>
        <v>671843313</v>
      </c>
      <c r="S30" s="363"/>
    </row>
    <row r="31" spans="1:18" ht="26.25" customHeight="1">
      <c r="A31" s="233"/>
      <c r="B31" s="253"/>
      <c r="C31" s="238" t="s">
        <v>190</v>
      </c>
      <c r="D31" s="242"/>
      <c r="E31" s="240">
        <v>144780000</v>
      </c>
      <c r="F31" s="240">
        <v>129920000</v>
      </c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>
        <f>SUM(F31:Q31)</f>
        <v>129920000</v>
      </c>
    </row>
    <row r="32" spans="1:18" ht="26.25" customHeight="1">
      <c r="A32" s="233"/>
      <c r="B32" s="234" t="s">
        <v>97</v>
      </c>
      <c r="C32" s="238"/>
      <c r="D32" s="242"/>
      <c r="E32" s="250">
        <v>20602177106</v>
      </c>
      <c r="F32" s="250">
        <f aca="true" t="shared" si="6" ref="F32:R32">SUM(F33:F48)</f>
        <v>12784984842</v>
      </c>
      <c r="G32" s="250">
        <f t="shared" si="6"/>
        <v>0</v>
      </c>
      <c r="H32" s="250">
        <f t="shared" si="6"/>
        <v>219656462</v>
      </c>
      <c r="I32" s="250">
        <f t="shared" si="6"/>
        <v>2030780130</v>
      </c>
      <c r="J32" s="250">
        <f t="shared" si="6"/>
        <v>3274139944</v>
      </c>
      <c r="K32" s="250">
        <f t="shared" si="6"/>
        <v>12598304</v>
      </c>
      <c r="L32" s="250">
        <f t="shared" si="6"/>
        <v>1636099037</v>
      </c>
      <c r="M32" s="250">
        <f t="shared" si="6"/>
        <v>0</v>
      </c>
      <c r="N32" s="250">
        <f>SUM(N33:N48)</f>
        <v>0</v>
      </c>
      <c r="O32" s="250">
        <f>SUM(O33:O48)</f>
        <v>1222721334</v>
      </c>
      <c r="P32" s="250">
        <f>SUM(P33:P48)</f>
        <v>31357679</v>
      </c>
      <c r="Q32" s="250">
        <f>SUM(Q33:Q48)</f>
        <v>283070893</v>
      </c>
      <c r="R32" s="250">
        <f t="shared" si="6"/>
        <v>21495408625</v>
      </c>
    </row>
    <row r="33" spans="1:18" ht="26.25" customHeight="1">
      <c r="A33" s="233"/>
      <c r="B33" s="253"/>
      <c r="C33" s="238" t="s">
        <v>47</v>
      </c>
      <c r="D33" s="242"/>
      <c r="E33" s="240">
        <v>6011551453</v>
      </c>
      <c r="F33" s="240">
        <v>6011551453</v>
      </c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>
        <f aca="true" t="shared" si="7" ref="R33:R48">SUM(F33:Q33)</f>
        <v>6011551453</v>
      </c>
    </row>
    <row r="34" spans="1:18" ht="26.25" customHeight="1">
      <c r="A34" s="233"/>
      <c r="B34" s="253"/>
      <c r="C34" s="238" t="s">
        <v>58</v>
      </c>
      <c r="D34" s="242"/>
      <c r="E34" s="240">
        <v>11712745549</v>
      </c>
      <c r="F34" s="240">
        <v>11712745549</v>
      </c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>
        <f t="shared" si="7"/>
        <v>11712745549</v>
      </c>
    </row>
    <row r="35" spans="1:18" ht="26.25" customHeight="1">
      <c r="A35" s="233"/>
      <c r="B35" s="253"/>
      <c r="C35" s="238" t="s">
        <v>13</v>
      </c>
      <c r="D35" s="242"/>
      <c r="E35" s="240">
        <v>-4977916846</v>
      </c>
      <c r="F35" s="240">
        <v>-5270735484</v>
      </c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>
        <f t="shared" si="7"/>
        <v>-5270735484</v>
      </c>
    </row>
    <row r="36" spans="1:18" ht="26.25" customHeight="1">
      <c r="A36" s="233"/>
      <c r="B36" s="253"/>
      <c r="C36" s="238" t="s">
        <v>64</v>
      </c>
      <c r="D36" s="242"/>
      <c r="E36" s="240">
        <v>505899143</v>
      </c>
      <c r="F36" s="240">
        <v>9300000</v>
      </c>
      <c r="G36" s="240"/>
      <c r="H36" s="240">
        <v>481222143</v>
      </c>
      <c r="I36" s="240"/>
      <c r="J36" s="240"/>
      <c r="K36" s="240"/>
      <c r="L36" s="240"/>
      <c r="M36" s="240"/>
      <c r="N36" s="240"/>
      <c r="O36" s="240"/>
      <c r="P36" s="240"/>
      <c r="Q36" s="240"/>
      <c r="R36" s="240">
        <f t="shared" si="7"/>
        <v>490522143</v>
      </c>
    </row>
    <row r="37" spans="1:18" ht="26.25" customHeight="1">
      <c r="A37" s="233"/>
      <c r="B37" s="253"/>
      <c r="C37" s="238" t="s">
        <v>13</v>
      </c>
      <c r="D37" s="242"/>
      <c r="E37" s="240">
        <v>-505869143</v>
      </c>
      <c r="F37" s="240">
        <v>-9299000</v>
      </c>
      <c r="G37" s="240"/>
      <c r="H37" s="240">
        <v>-481194143</v>
      </c>
      <c r="I37" s="240"/>
      <c r="J37" s="240"/>
      <c r="K37" s="240"/>
      <c r="L37" s="240"/>
      <c r="M37" s="240"/>
      <c r="N37" s="240"/>
      <c r="O37" s="240"/>
      <c r="P37" s="240"/>
      <c r="Q37" s="240"/>
      <c r="R37" s="240">
        <f t="shared" si="7"/>
        <v>-490493143</v>
      </c>
    </row>
    <row r="38" spans="1:18" ht="26.25" customHeight="1">
      <c r="A38" s="233"/>
      <c r="B38" s="253"/>
      <c r="C38" s="238" t="s">
        <v>7</v>
      </c>
      <c r="D38" s="242"/>
      <c r="E38" s="240">
        <v>53970671</v>
      </c>
      <c r="F38" s="240">
        <v>22396370</v>
      </c>
      <c r="G38" s="240"/>
      <c r="H38" s="240"/>
      <c r="I38" s="240">
        <v>15709091</v>
      </c>
      <c r="J38" s="240"/>
      <c r="K38" s="240"/>
      <c r="L38" s="240"/>
      <c r="M38" s="240"/>
      <c r="N38" s="240"/>
      <c r="O38" s="240">
        <v>11150000</v>
      </c>
      <c r="P38" s="240"/>
      <c r="Q38" s="240">
        <v>30825210</v>
      </c>
      <c r="R38" s="240">
        <f t="shared" si="7"/>
        <v>80080671</v>
      </c>
    </row>
    <row r="39" spans="1:18" ht="26.25" customHeight="1">
      <c r="A39" s="233"/>
      <c r="B39" s="253"/>
      <c r="C39" s="238" t="s">
        <v>13</v>
      </c>
      <c r="D39" s="242"/>
      <c r="E39" s="240">
        <v>-49386851</v>
      </c>
      <c r="F39" s="240">
        <v>-22395370</v>
      </c>
      <c r="G39" s="240"/>
      <c r="H39" s="240"/>
      <c r="I39" s="240">
        <v>-15054543</v>
      </c>
      <c r="J39" s="240"/>
      <c r="K39" s="240"/>
      <c r="L39" s="240"/>
      <c r="M39" s="240"/>
      <c r="N39" s="240"/>
      <c r="O39" s="240">
        <v>-232291</v>
      </c>
      <c r="P39" s="240"/>
      <c r="Q39" s="240">
        <v>-17734210</v>
      </c>
      <c r="R39" s="240">
        <f t="shared" si="7"/>
        <v>-55416414</v>
      </c>
    </row>
    <row r="40" spans="1:18" ht="26.25" customHeight="1">
      <c r="A40" s="233"/>
      <c r="B40" s="253"/>
      <c r="C40" s="238" t="s">
        <v>45</v>
      </c>
      <c r="D40" s="242"/>
      <c r="E40" s="240">
        <v>224749406</v>
      </c>
      <c r="F40" s="240"/>
      <c r="G40" s="240"/>
      <c r="H40" s="240">
        <v>211551406</v>
      </c>
      <c r="I40" s="240"/>
      <c r="J40" s="240"/>
      <c r="K40" s="240"/>
      <c r="L40" s="240"/>
      <c r="M40" s="240"/>
      <c r="N40" s="240"/>
      <c r="O40" s="240"/>
      <c r="P40" s="240"/>
      <c r="Q40" s="240"/>
      <c r="R40" s="240">
        <f t="shared" si="7"/>
        <v>211551406</v>
      </c>
    </row>
    <row r="41" spans="1:18" ht="26.25" customHeight="1">
      <c r="A41" s="233"/>
      <c r="B41" s="253"/>
      <c r="C41" s="238" t="s">
        <v>13</v>
      </c>
      <c r="D41" s="242"/>
      <c r="E41" s="240">
        <v>-220663126</v>
      </c>
      <c r="F41" s="240"/>
      <c r="G41" s="240"/>
      <c r="H41" s="240">
        <v>-207950526</v>
      </c>
      <c r="I41" s="240"/>
      <c r="J41" s="240"/>
      <c r="K41" s="240"/>
      <c r="L41" s="240"/>
      <c r="M41" s="240"/>
      <c r="N41" s="240"/>
      <c r="O41" s="240"/>
      <c r="P41" s="240"/>
      <c r="Q41" s="240"/>
      <c r="R41" s="240">
        <f t="shared" si="7"/>
        <v>-207950526</v>
      </c>
    </row>
    <row r="42" spans="1:18" ht="26.25" customHeight="1">
      <c r="A42" s="233"/>
      <c r="B42" s="253"/>
      <c r="C42" s="238" t="s">
        <v>8</v>
      </c>
      <c r="D42" s="242"/>
      <c r="E42" s="240">
        <v>5645442421</v>
      </c>
      <c r="F42" s="240">
        <v>1504405345</v>
      </c>
      <c r="G42" s="240"/>
      <c r="H42" s="240">
        <v>715416583</v>
      </c>
      <c r="I42" s="240">
        <v>530615732</v>
      </c>
      <c r="J42" s="240">
        <v>211116419</v>
      </c>
      <c r="K42" s="240">
        <v>301623932</v>
      </c>
      <c r="L42" s="240">
        <v>587155093</v>
      </c>
      <c r="M42" s="240"/>
      <c r="N42" s="240"/>
      <c r="O42" s="240">
        <v>341616371</v>
      </c>
      <c r="P42" s="240">
        <v>419527840</v>
      </c>
      <c r="Q42" s="240">
        <v>655799332</v>
      </c>
      <c r="R42" s="240">
        <f t="shared" si="7"/>
        <v>5267276647</v>
      </c>
    </row>
    <row r="43" spans="1:18" ht="26.25" customHeight="1">
      <c r="A43" s="233"/>
      <c r="B43" s="253"/>
      <c r="C43" s="238" t="s">
        <v>13</v>
      </c>
      <c r="D43" s="242"/>
      <c r="E43" s="240">
        <v>-4955032851</v>
      </c>
      <c r="F43" s="240">
        <v>-1272374021</v>
      </c>
      <c r="G43" s="240"/>
      <c r="H43" s="240">
        <v>-499389001</v>
      </c>
      <c r="I43" s="240">
        <v>-404190150</v>
      </c>
      <c r="J43" s="240">
        <v>-144830532</v>
      </c>
      <c r="K43" s="240">
        <v>-289029628</v>
      </c>
      <c r="L43" s="240">
        <v>-535702844</v>
      </c>
      <c r="M43" s="240"/>
      <c r="N43" s="240"/>
      <c r="O43" s="240">
        <v>-299075746</v>
      </c>
      <c r="P43" s="240">
        <v>-388170161</v>
      </c>
      <c r="Q43" s="240">
        <v>-567508874</v>
      </c>
      <c r="R43" s="240">
        <f t="shared" si="7"/>
        <v>-4400270957</v>
      </c>
    </row>
    <row r="44" spans="1:18" ht="26.25" customHeight="1">
      <c r="A44" s="233"/>
      <c r="B44" s="253"/>
      <c r="C44" s="238" t="s">
        <v>63</v>
      </c>
      <c r="D44" s="242"/>
      <c r="E44" s="240">
        <v>69390000</v>
      </c>
      <c r="F44" s="240">
        <v>69390000</v>
      </c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>
        <f t="shared" si="7"/>
        <v>69390000</v>
      </c>
    </row>
    <row r="45" spans="1:18" ht="26.25" customHeight="1">
      <c r="A45" s="233"/>
      <c r="B45" s="253"/>
      <c r="C45" s="238" t="s">
        <v>126</v>
      </c>
      <c r="D45" s="242"/>
      <c r="E45" s="240">
        <v>3845721145</v>
      </c>
      <c r="F45" s="240"/>
      <c r="G45" s="240"/>
      <c r="H45" s="240"/>
      <c r="I45" s="240"/>
      <c r="J45" s="240"/>
      <c r="K45" s="240">
        <v>3688096145</v>
      </c>
      <c r="L45" s="240">
        <v>157625000</v>
      </c>
      <c r="M45" s="240"/>
      <c r="N45" s="240"/>
      <c r="O45" s="240"/>
      <c r="P45" s="240"/>
      <c r="Q45" s="240"/>
      <c r="R45" s="240">
        <f t="shared" si="7"/>
        <v>3845721145</v>
      </c>
    </row>
    <row r="46" spans="1:18" ht="26.25" customHeight="1">
      <c r="A46" s="233"/>
      <c r="B46" s="253"/>
      <c r="C46" s="238" t="s">
        <v>13</v>
      </c>
      <c r="D46" s="242"/>
      <c r="E46" s="240">
        <v>-3845712355</v>
      </c>
      <c r="F46" s="240"/>
      <c r="G46" s="240"/>
      <c r="H46" s="240"/>
      <c r="I46" s="240"/>
      <c r="J46" s="240"/>
      <c r="K46" s="240">
        <v>-3688092145</v>
      </c>
      <c r="L46" s="240">
        <v>-157620210</v>
      </c>
      <c r="M46" s="240"/>
      <c r="N46" s="240"/>
      <c r="O46" s="240"/>
      <c r="P46" s="240"/>
      <c r="Q46" s="240"/>
      <c r="R46" s="240">
        <f t="shared" si="7"/>
        <v>-3845712355</v>
      </c>
    </row>
    <row r="47" spans="1:18" ht="26.25" customHeight="1">
      <c r="A47" s="233"/>
      <c r="B47" s="253"/>
      <c r="C47" s="238" t="s">
        <v>125</v>
      </c>
      <c r="D47" s="242"/>
      <c r="E47" s="240">
        <v>4199496055</v>
      </c>
      <c r="F47" s="240">
        <v>30000000</v>
      </c>
      <c r="G47" s="240"/>
      <c r="H47" s="240"/>
      <c r="I47" s="240"/>
      <c r="J47" s="240">
        <v>3207854057</v>
      </c>
      <c r="K47" s="240"/>
      <c r="L47" s="240">
        <v>1584641998</v>
      </c>
      <c r="M47" s="240"/>
      <c r="N47" s="240"/>
      <c r="O47" s="240"/>
      <c r="P47" s="240"/>
      <c r="Q47" s="240"/>
      <c r="R47" s="240">
        <f t="shared" si="7"/>
        <v>4822496055</v>
      </c>
    </row>
    <row r="48" spans="1:18" ht="26.25" customHeight="1">
      <c r="A48" s="233"/>
      <c r="B48" s="253"/>
      <c r="C48" s="238" t="s">
        <v>124</v>
      </c>
      <c r="D48" s="242"/>
      <c r="E48" s="240">
        <v>2887792435</v>
      </c>
      <c r="F48" s="240"/>
      <c r="G48" s="240"/>
      <c r="H48" s="240"/>
      <c r="I48" s="240">
        <v>1903700000</v>
      </c>
      <c r="J48" s="240"/>
      <c r="K48" s="240"/>
      <c r="L48" s="240"/>
      <c r="M48" s="240"/>
      <c r="N48" s="240"/>
      <c r="O48" s="240">
        <v>1169263000</v>
      </c>
      <c r="P48" s="240"/>
      <c r="Q48" s="240">
        <v>181689435</v>
      </c>
      <c r="R48" s="240">
        <f t="shared" si="7"/>
        <v>3254652435</v>
      </c>
    </row>
    <row r="49" spans="1:18" ht="26.25" customHeight="1">
      <c r="A49" s="233"/>
      <c r="B49" s="234" t="s">
        <v>117</v>
      </c>
      <c r="C49" s="238"/>
      <c r="D49" s="242"/>
      <c r="E49" s="250">
        <v>86454400</v>
      </c>
      <c r="F49" s="250">
        <f aca="true" t="shared" si="8" ref="F49:R49">SUM(F50:F52)</f>
        <v>35000000</v>
      </c>
      <c r="G49" s="250">
        <f t="shared" si="8"/>
        <v>0</v>
      </c>
      <c r="H49" s="250">
        <f t="shared" si="8"/>
        <v>888000</v>
      </c>
      <c r="I49" s="250">
        <f t="shared" si="8"/>
        <v>0</v>
      </c>
      <c r="J49" s="250">
        <f t="shared" si="8"/>
        <v>0</v>
      </c>
      <c r="K49" s="250">
        <f t="shared" si="8"/>
        <v>0</v>
      </c>
      <c r="L49" s="250">
        <f t="shared" si="8"/>
        <v>0</v>
      </c>
      <c r="M49" s="250">
        <f t="shared" si="8"/>
        <v>0</v>
      </c>
      <c r="N49" s="250">
        <f>SUM(N50:N52)</f>
        <v>0</v>
      </c>
      <c r="O49" s="250">
        <f>SUM(O50:O52)</f>
        <v>10000000</v>
      </c>
      <c r="P49" s="250">
        <f>SUM(P50:P52)</f>
        <v>0</v>
      </c>
      <c r="Q49" s="250">
        <f>SUM(Q50:Q52)</f>
        <v>55000000</v>
      </c>
      <c r="R49" s="250">
        <f t="shared" si="8"/>
        <v>100888000</v>
      </c>
    </row>
    <row r="50" spans="1:18" ht="26.25" customHeight="1">
      <c r="A50" s="233"/>
      <c r="B50" s="253"/>
      <c r="C50" s="238" t="s">
        <v>98</v>
      </c>
      <c r="D50" s="242"/>
      <c r="E50" s="240">
        <v>85000000</v>
      </c>
      <c r="F50" s="240">
        <v>35000000</v>
      </c>
      <c r="G50" s="240"/>
      <c r="H50" s="240"/>
      <c r="I50" s="240"/>
      <c r="J50" s="240"/>
      <c r="K50" s="240"/>
      <c r="L50" s="240"/>
      <c r="M50" s="240"/>
      <c r="N50" s="240"/>
      <c r="O50" s="240">
        <v>10000000</v>
      </c>
      <c r="P50" s="240"/>
      <c r="Q50" s="240">
        <v>55000000</v>
      </c>
      <c r="R50" s="240">
        <f>SUM(F50:Q50)</f>
        <v>100000000</v>
      </c>
    </row>
    <row r="51" spans="1:18" ht="26.25" customHeight="1">
      <c r="A51" s="233"/>
      <c r="B51" s="253"/>
      <c r="C51" s="238" t="s">
        <v>222</v>
      </c>
      <c r="D51" s="242"/>
      <c r="E51" s="240">
        <v>888000</v>
      </c>
      <c r="F51" s="240"/>
      <c r="G51" s="240"/>
      <c r="H51" s="240">
        <v>888000</v>
      </c>
      <c r="I51" s="240"/>
      <c r="J51" s="240"/>
      <c r="K51" s="240"/>
      <c r="L51" s="240"/>
      <c r="M51" s="240"/>
      <c r="N51" s="240"/>
      <c r="O51" s="240"/>
      <c r="P51" s="240"/>
      <c r="Q51" s="240"/>
      <c r="R51" s="240">
        <f>SUM(F51:Q51)</f>
        <v>888000</v>
      </c>
    </row>
    <row r="52" spans="1:18" ht="26.25" customHeight="1">
      <c r="A52" s="233"/>
      <c r="B52" s="253"/>
      <c r="C52" s="238" t="s">
        <v>37</v>
      </c>
      <c r="D52" s="242"/>
      <c r="E52" s="240">
        <v>566400</v>
      </c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>
        <f>SUM(F52:Q52)</f>
        <v>0</v>
      </c>
    </row>
    <row r="53" spans="1:18" ht="26.25" customHeight="1" thickBot="1">
      <c r="A53" s="233"/>
      <c r="B53" s="253"/>
      <c r="C53" s="238"/>
      <c r="D53" s="242"/>
      <c r="E53" s="240">
        <v>0</v>
      </c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>
        <f>SUM(F53:M53)</f>
        <v>0</v>
      </c>
    </row>
    <row r="54" spans="1:18" ht="26.25" customHeight="1" thickBot="1">
      <c r="A54" s="254"/>
      <c r="B54" s="494" t="s">
        <v>36</v>
      </c>
      <c r="C54" s="494"/>
      <c r="D54" s="255"/>
      <c r="E54" s="256">
        <v>145909502931</v>
      </c>
      <c r="F54" s="256">
        <f aca="true" t="shared" si="9" ref="F54:R54">+F27+F6</f>
        <v>133966657303</v>
      </c>
      <c r="G54" s="256">
        <f t="shared" si="9"/>
        <v>2251917468</v>
      </c>
      <c r="H54" s="256">
        <f t="shared" si="9"/>
        <v>2596886012</v>
      </c>
      <c r="I54" s="256">
        <f t="shared" si="9"/>
        <v>2248861677</v>
      </c>
      <c r="J54" s="256">
        <f t="shared" si="9"/>
        <v>4574182144</v>
      </c>
      <c r="K54" s="256">
        <f t="shared" si="9"/>
        <v>334372616</v>
      </c>
      <c r="L54" s="256">
        <f t="shared" si="9"/>
        <v>2088618102</v>
      </c>
      <c r="M54" s="256">
        <f t="shared" si="9"/>
        <v>0</v>
      </c>
      <c r="N54" s="256">
        <f t="shared" si="9"/>
        <v>0</v>
      </c>
      <c r="O54" s="256">
        <f t="shared" si="9"/>
        <v>1396761597</v>
      </c>
      <c r="P54" s="256">
        <f t="shared" si="9"/>
        <v>601436947</v>
      </c>
      <c r="Q54" s="256">
        <f t="shared" si="9"/>
        <v>521014661</v>
      </c>
      <c r="R54" s="256">
        <f t="shared" si="9"/>
        <v>150580708527</v>
      </c>
    </row>
    <row r="55" spans="1:18" ht="26.25" customHeight="1" thickBot="1">
      <c r="A55" s="254"/>
      <c r="B55" s="257"/>
      <c r="C55" s="257"/>
      <c r="D55" s="258"/>
      <c r="E55" s="259"/>
      <c r="F55" s="260"/>
      <c r="G55" s="260"/>
      <c r="H55" s="260"/>
      <c r="I55" s="260"/>
      <c r="J55" s="260"/>
      <c r="K55" s="261"/>
      <c r="L55" s="261"/>
      <c r="M55" s="260"/>
      <c r="N55" s="260"/>
      <c r="O55" s="260"/>
      <c r="P55" s="260"/>
      <c r="Q55" s="260"/>
      <c r="R55" s="259"/>
    </row>
    <row r="56" spans="1:18" ht="26.25" customHeight="1" thickBot="1">
      <c r="A56" s="262"/>
      <c r="B56" s="263"/>
      <c r="C56" s="263"/>
      <c r="D56" s="264"/>
      <c r="E56" s="265" t="s">
        <v>263</v>
      </c>
      <c r="F56" s="265" t="s">
        <v>201</v>
      </c>
      <c r="G56" s="265" t="s">
        <v>202</v>
      </c>
      <c r="H56" s="265" t="s">
        <v>223</v>
      </c>
      <c r="I56" s="265" t="s">
        <v>204</v>
      </c>
      <c r="J56" s="265" t="s">
        <v>205</v>
      </c>
      <c r="K56" s="265" t="s">
        <v>206</v>
      </c>
      <c r="L56" s="265" t="s">
        <v>207</v>
      </c>
      <c r="M56" s="265" t="s">
        <v>208</v>
      </c>
      <c r="N56" s="265" t="s">
        <v>209</v>
      </c>
      <c r="O56" s="265" t="s">
        <v>210</v>
      </c>
      <c r="P56" s="265" t="s">
        <v>211</v>
      </c>
      <c r="Q56" s="265" t="s">
        <v>212</v>
      </c>
      <c r="R56" s="265" t="s">
        <v>213</v>
      </c>
    </row>
    <row r="57" spans="1:18" ht="26.25" customHeight="1">
      <c r="A57" s="266"/>
      <c r="B57" s="495" t="s">
        <v>32</v>
      </c>
      <c r="C57" s="496"/>
      <c r="D57" s="236"/>
      <c r="E57" s="268"/>
      <c r="F57" s="240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</row>
    <row r="58" spans="1:18" ht="26.25" customHeight="1">
      <c r="A58" s="266"/>
      <c r="B58" s="269" t="s">
        <v>224</v>
      </c>
      <c r="C58" s="267"/>
      <c r="D58" s="236"/>
      <c r="E58" s="251">
        <v>3789414042</v>
      </c>
      <c r="F58" s="251">
        <f aca="true" t="shared" si="10" ref="F58:R58">SUM(F59:F70)</f>
        <v>1055590535</v>
      </c>
      <c r="G58" s="251">
        <f t="shared" si="10"/>
        <v>1739414556</v>
      </c>
      <c r="H58" s="251">
        <f t="shared" si="10"/>
        <v>6208396424</v>
      </c>
      <c r="I58" s="251">
        <f t="shared" si="10"/>
        <v>-275677828</v>
      </c>
      <c r="J58" s="251">
        <f t="shared" si="10"/>
        <v>1664631018</v>
      </c>
      <c r="K58" s="251">
        <f t="shared" si="10"/>
        <v>-246183273</v>
      </c>
      <c r="L58" s="251">
        <f t="shared" si="10"/>
        <v>1881301348</v>
      </c>
      <c r="M58" s="251">
        <f t="shared" si="10"/>
        <v>0</v>
      </c>
      <c r="N58" s="251">
        <f>SUM(N59:N70)</f>
        <v>0</v>
      </c>
      <c r="O58" s="251">
        <f>SUM(O59:O70)</f>
        <v>-1146179006</v>
      </c>
      <c r="P58" s="251">
        <f>SUM(P59:P70)</f>
        <v>-4219944389</v>
      </c>
      <c r="Q58" s="251">
        <f>SUM(Q59:Q70)</f>
        <v>2283984464</v>
      </c>
      <c r="R58" s="251">
        <f t="shared" si="10"/>
        <v>8945333849</v>
      </c>
    </row>
    <row r="59" spans="1:18" ht="26.25" customHeight="1">
      <c r="A59" s="233"/>
      <c r="B59" s="253"/>
      <c r="C59" s="238" t="s">
        <v>9</v>
      </c>
      <c r="D59" s="242"/>
      <c r="E59" s="240">
        <v>499150946</v>
      </c>
      <c r="F59" s="240">
        <v>108385655</v>
      </c>
      <c r="G59" s="240"/>
      <c r="H59" s="240">
        <v>151666137</v>
      </c>
      <c r="I59" s="240">
        <v>48367010</v>
      </c>
      <c r="J59" s="240">
        <v>32390261</v>
      </c>
      <c r="K59" s="240">
        <v>19112959</v>
      </c>
      <c r="L59" s="240">
        <v>19603491</v>
      </c>
      <c r="M59" s="240"/>
      <c r="N59" s="240"/>
      <c r="O59" s="240">
        <v>46192243</v>
      </c>
      <c r="P59" s="240">
        <v>50286577</v>
      </c>
      <c r="Q59" s="240">
        <v>41596919</v>
      </c>
      <c r="R59" s="240">
        <f aca="true" t="shared" si="11" ref="R59:R70">SUM(F59:Q59)</f>
        <v>517601252</v>
      </c>
    </row>
    <row r="60" spans="1:18" ht="26.25" customHeight="1">
      <c r="A60" s="233"/>
      <c r="B60" s="253"/>
      <c r="C60" s="238" t="s">
        <v>10</v>
      </c>
      <c r="D60" s="242"/>
      <c r="E60" s="240">
        <v>220505685</v>
      </c>
      <c r="F60" s="240">
        <v>58148708</v>
      </c>
      <c r="G60" s="240"/>
      <c r="H60" s="240">
        <v>44732040</v>
      </c>
      <c r="I60" s="240">
        <v>21035976</v>
      </c>
      <c r="J60" s="240">
        <v>16049867</v>
      </c>
      <c r="K60" s="240">
        <v>4671920</v>
      </c>
      <c r="L60" s="240">
        <v>7816504</v>
      </c>
      <c r="M60" s="240"/>
      <c r="N60" s="240"/>
      <c r="O60" s="240">
        <v>6285950</v>
      </c>
      <c r="P60" s="240">
        <v>2006921</v>
      </c>
      <c r="Q60" s="240">
        <v>7823041</v>
      </c>
      <c r="R60" s="240">
        <f t="shared" si="11"/>
        <v>168570927</v>
      </c>
    </row>
    <row r="61" spans="1:18" ht="26.25" customHeight="1">
      <c r="A61" s="233"/>
      <c r="B61" s="253"/>
      <c r="C61" s="238" t="s">
        <v>225</v>
      </c>
      <c r="D61" s="242"/>
      <c r="E61" s="240">
        <v>1088500</v>
      </c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>
        <f t="shared" si="11"/>
        <v>0</v>
      </c>
    </row>
    <row r="62" spans="1:18" ht="26.25" customHeight="1">
      <c r="A62" s="233"/>
      <c r="B62" s="253"/>
      <c r="C62" s="238" t="s">
        <v>197</v>
      </c>
      <c r="D62" s="242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>
        <f t="shared" si="11"/>
        <v>0</v>
      </c>
    </row>
    <row r="63" spans="1:18" ht="26.25" customHeight="1">
      <c r="A63" s="233"/>
      <c r="B63" s="253"/>
      <c r="C63" s="238" t="s">
        <v>48</v>
      </c>
      <c r="D63" s="242"/>
      <c r="E63" s="240">
        <v>3251469158</v>
      </c>
      <c r="F63" s="240"/>
      <c r="G63" s="240">
        <f>1799380204+23046232</f>
        <v>1822426436</v>
      </c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>
        <f t="shared" si="11"/>
        <v>1822426436</v>
      </c>
    </row>
    <row r="64" spans="1:18" ht="26.25" customHeight="1">
      <c r="A64" s="233"/>
      <c r="B64" s="253"/>
      <c r="C64" s="238" t="s">
        <v>165</v>
      </c>
      <c r="D64" s="242"/>
      <c r="E64" s="240">
        <v>931302947</v>
      </c>
      <c r="F64" s="270">
        <f>37251181+285352+831685703</f>
        <v>869222236</v>
      </c>
      <c r="G64" s="240"/>
      <c r="H64" s="240">
        <f>25794771+295574544</f>
        <v>321369315</v>
      </c>
      <c r="I64" s="240">
        <f>1550000+6623</f>
        <v>1556623</v>
      </c>
      <c r="J64" s="240">
        <f>134497214+921593474</f>
        <v>1056090688</v>
      </c>
      <c r="K64" s="240">
        <v>169487748</v>
      </c>
      <c r="L64" s="240">
        <v>23839</v>
      </c>
      <c r="M64" s="240"/>
      <c r="N64" s="240"/>
      <c r="O64" s="240">
        <v>9214</v>
      </c>
      <c r="P64" s="240"/>
      <c r="Q64" s="240">
        <v>22308</v>
      </c>
      <c r="R64" s="240">
        <f t="shared" si="11"/>
        <v>2417781971</v>
      </c>
    </row>
    <row r="65" spans="1:18" ht="26.25" customHeight="1">
      <c r="A65" s="233"/>
      <c r="B65" s="253"/>
      <c r="C65" s="238" t="s">
        <v>191</v>
      </c>
      <c r="D65" s="242"/>
      <c r="E65" s="240">
        <v>0</v>
      </c>
      <c r="F65" s="27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>
        <f t="shared" si="11"/>
        <v>0</v>
      </c>
    </row>
    <row r="66" spans="1:18" ht="26.25" customHeight="1">
      <c r="A66" s="233"/>
      <c r="B66" s="253"/>
      <c r="C66" s="238" t="s">
        <v>173</v>
      </c>
      <c r="D66" s="242"/>
      <c r="E66" s="240">
        <v>499134226</v>
      </c>
      <c r="F66" s="240"/>
      <c r="G66" s="240"/>
      <c r="H66" s="240">
        <v>946195285</v>
      </c>
      <c r="I66" s="240">
        <v>48945000</v>
      </c>
      <c r="J66" s="240"/>
      <c r="K66" s="240"/>
      <c r="L66" s="240"/>
      <c r="M66" s="240"/>
      <c r="N66" s="240"/>
      <c r="O66" s="240"/>
      <c r="P66" s="240"/>
      <c r="Q66" s="240"/>
      <c r="R66" s="240">
        <f t="shared" si="11"/>
        <v>995140285</v>
      </c>
    </row>
    <row r="67" spans="1:18" ht="26.25" customHeight="1">
      <c r="A67" s="233"/>
      <c r="B67" s="253"/>
      <c r="C67" s="238" t="s">
        <v>186</v>
      </c>
      <c r="D67" s="242"/>
      <c r="E67" s="240">
        <v>389379049</v>
      </c>
      <c r="F67" s="240"/>
      <c r="G67" s="240"/>
      <c r="H67" s="240">
        <v>566450920</v>
      </c>
      <c r="I67" s="240"/>
      <c r="J67" s="240"/>
      <c r="K67" s="240"/>
      <c r="L67" s="240"/>
      <c r="M67" s="240"/>
      <c r="N67" s="240"/>
      <c r="O67" s="240"/>
      <c r="P67" s="240"/>
      <c r="Q67" s="240"/>
      <c r="R67" s="240">
        <f t="shared" si="11"/>
        <v>566450920</v>
      </c>
    </row>
    <row r="68" spans="1:18" ht="26.25" customHeight="1">
      <c r="A68" s="233"/>
      <c r="B68" s="253"/>
      <c r="C68" s="238" t="s">
        <v>73</v>
      </c>
      <c r="D68" s="242"/>
      <c r="E68" s="240">
        <v>1644553</v>
      </c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>
        <v>507453</v>
      </c>
      <c r="Q68" s="240"/>
      <c r="R68" s="240">
        <f t="shared" si="11"/>
        <v>507453</v>
      </c>
    </row>
    <row r="69" spans="1:19" s="249" customFormat="1" ht="26.25" customHeight="1">
      <c r="A69" s="243"/>
      <c r="B69" s="271"/>
      <c r="C69" s="245" t="s">
        <v>220</v>
      </c>
      <c r="D69" s="246"/>
      <c r="E69" s="247">
        <v>-2142143664</v>
      </c>
      <c r="F69" s="272"/>
      <c r="G69" s="247">
        <v>-83011880</v>
      </c>
      <c r="H69" s="247">
        <v>4177982727</v>
      </c>
      <c r="I69" s="247">
        <v>-473530968</v>
      </c>
      <c r="J69" s="247">
        <v>560100202</v>
      </c>
      <c r="K69" s="247">
        <f>-454146780+14690880</f>
        <v>-439455900</v>
      </c>
      <c r="L69" s="247">
        <v>1852957514</v>
      </c>
      <c r="M69" s="247"/>
      <c r="N69" s="247"/>
      <c r="O69" s="247">
        <v>-1198666413</v>
      </c>
      <c r="P69" s="247">
        <v>-4328155340</v>
      </c>
      <c r="Q69" s="247">
        <v>2234542196</v>
      </c>
      <c r="R69" s="247">
        <f>SUM(F69:Q69)</f>
        <v>2302762138</v>
      </c>
      <c r="S69" s="248"/>
    </row>
    <row r="70" spans="1:18" ht="26.25" customHeight="1">
      <c r="A70" s="233"/>
      <c r="B70" s="253"/>
      <c r="C70" s="238" t="s">
        <v>62</v>
      </c>
      <c r="D70" s="242"/>
      <c r="E70" s="240">
        <v>137882642</v>
      </c>
      <c r="F70" s="240">
        <v>19833936</v>
      </c>
      <c r="G70" s="240"/>
      <c r="H70" s="240"/>
      <c r="I70" s="240">
        <v>77948531</v>
      </c>
      <c r="J70" s="240"/>
      <c r="K70" s="240"/>
      <c r="L70" s="240">
        <v>900000</v>
      </c>
      <c r="M70" s="240"/>
      <c r="N70" s="240"/>
      <c r="O70" s="240"/>
      <c r="P70" s="240">
        <v>55410000</v>
      </c>
      <c r="Q70" s="240"/>
      <c r="R70" s="240">
        <f t="shared" si="11"/>
        <v>154092467</v>
      </c>
    </row>
    <row r="71" spans="1:18" ht="26.25" customHeight="1">
      <c r="A71" s="233"/>
      <c r="B71" s="234" t="s">
        <v>118</v>
      </c>
      <c r="C71" s="238"/>
      <c r="D71" s="242"/>
      <c r="E71" s="250">
        <v>7664889230</v>
      </c>
      <c r="F71" s="250">
        <f aca="true" t="shared" si="12" ref="F71:R71">SUM(F72:F74)</f>
        <v>4571960716</v>
      </c>
      <c r="G71" s="250">
        <f t="shared" si="12"/>
        <v>0</v>
      </c>
      <c r="H71" s="250">
        <f t="shared" si="12"/>
        <v>850981170</v>
      </c>
      <c r="I71" s="250">
        <f t="shared" si="12"/>
        <v>633167470</v>
      </c>
      <c r="J71" s="250">
        <f t="shared" si="12"/>
        <v>411880050</v>
      </c>
      <c r="K71" s="250">
        <f t="shared" si="12"/>
        <v>196480810</v>
      </c>
      <c r="L71" s="250">
        <f t="shared" si="12"/>
        <v>351614930</v>
      </c>
      <c r="M71" s="250">
        <f t="shared" si="12"/>
        <v>0</v>
      </c>
      <c r="N71" s="250">
        <f>SUM(N72:N74)</f>
        <v>0</v>
      </c>
      <c r="O71" s="250">
        <f>SUM(O72:O74)</f>
        <v>582340700</v>
      </c>
      <c r="P71" s="250">
        <f>SUM(P72:P74)</f>
        <v>252573420</v>
      </c>
      <c r="Q71" s="250">
        <f>SUM(Q72:Q74)</f>
        <v>387490160</v>
      </c>
      <c r="R71" s="250">
        <f t="shared" si="12"/>
        <v>8238489426</v>
      </c>
    </row>
    <row r="72" spans="1:18" ht="26.25" customHeight="1">
      <c r="A72" s="273"/>
      <c r="B72" s="253"/>
      <c r="C72" s="274" t="s">
        <v>49</v>
      </c>
      <c r="D72" s="236"/>
      <c r="E72" s="240">
        <v>2761445360</v>
      </c>
      <c r="F72" s="240">
        <v>2810117810</v>
      </c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>
        <f>SUM(F72:Q72)</f>
        <v>2810117810</v>
      </c>
    </row>
    <row r="73" spans="1:18" ht="26.25" customHeight="1">
      <c r="A73" s="233"/>
      <c r="B73" s="253"/>
      <c r="C73" s="238" t="s">
        <v>102</v>
      </c>
      <c r="D73" s="242"/>
      <c r="E73" s="240">
        <v>4909317570</v>
      </c>
      <c r="F73" s="240">
        <v>1764874106</v>
      </c>
      <c r="G73" s="240"/>
      <c r="H73" s="240">
        <v>850981170</v>
      </c>
      <c r="I73" s="240">
        <v>633167470</v>
      </c>
      <c r="J73" s="240">
        <v>411880050</v>
      </c>
      <c r="K73" s="240">
        <v>196480810</v>
      </c>
      <c r="L73" s="240">
        <v>351614930</v>
      </c>
      <c r="M73" s="240"/>
      <c r="N73" s="240"/>
      <c r="O73" s="240">
        <v>582340700</v>
      </c>
      <c r="P73" s="240">
        <v>252573420</v>
      </c>
      <c r="Q73" s="240">
        <v>387490160</v>
      </c>
      <c r="R73" s="240">
        <f>SUM(F73:Q73)</f>
        <v>5431402816</v>
      </c>
    </row>
    <row r="74" spans="1:18" ht="26.25" customHeight="1">
      <c r="A74" s="233"/>
      <c r="B74" s="253"/>
      <c r="C74" s="238" t="s">
        <v>11</v>
      </c>
      <c r="D74" s="242"/>
      <c r="E74" s="240">
        <v>-5873700</v>
      </c>
      <c r="F74" s="240">
        <v>-3031200</v>
      </c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>
        <f>SUM(F74:Q74)</f>
        <v>-3031200</v>
      </c>
    </row>
    <row r="75" spans="1:18" ht="26.25" customHeight="1">
      <c r="A75" s="233"/>
      <c r="B75" s="253"/>
      <c r="C75" s="275" t="s">
        <v>35</v>
      </c>
      <c r="D75" s="242"/>
      <c r="E75" s="250">
        <v>11454303272</v>
      </c>
      <c r="F75" s="250">
        <f aca="true" t="shared" si="13" ref="F75:R75">+F71+F58</f>
        <v>5627551251</v>
      </c>
      <c r="G75" s="250">
        <f t="shared" si="13"/>
        <v>1739414556</v>
      </c>
      <c r="H75" s="250">
        <f t="shared" si="13"/>
        <v>7059377594</v>
      </c>
      <c r="I75" s="250">
        <f t="shared" si="13"/>
        <v>357489642</v>
      </c>
      <c r="J75" s="250">
        <f t="shared" si="13"/>
        <v>2076511068</v>
      </c>
      <c r="K75" s="250">
        <f t="shared" si="13"/>
        <v>-49702463</v>
      </c>
      <c r="L75" s="250">
        <f t="shared" si="13"/>
        <v>2232916278</v>
      </c>
      <c r="M75" s="250">
        <f t="shared" si="13"/>
        <v>0</v>
      </c>
      <c r="N75" s="250">
        <f t="shared" si="13"/>
        <v>0</v>
      </c>
      <c r="O75" s="250">
        <f t="shared" si="13"/>
        <v>-563838306</v>
      </c>
      <c r="P75" s="250">
        <f>+P71+P58</f>
        <v>-3967370969</v>
      </c>
      <c r="Q75" s="250">
        <f>+Q71+Q58</f>
        <v>2671474624</v>
      </c>
      <c r="R75" s="250">
        <f t="shared" si="13"/>
        <v>17183823275</v>
      </c>
    </row>
    <row r="76" spans="1:18" ht="26.25" customHeight="1">
      <c r="A76" s="266"/>
      <c r="B76" s="496" t="s">
        <v>17</v>
      </c>
      <c r="C76" s="496"/>
      <c r="D76" s="236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</row>
    <row r="77" spans="1:18" ht="26.25" customHeight="1">
      <c r="A77" s="266"/>
      <c r="B77" s="269" t="s">
        <v>226</v>
      </c>
      <c r="C77" s="267"/>
      <c r="D77" s="236"/>
      <c r="E77" s="276">
        <v>122880889793</v>
      </c>
      <c r="F77" s="276">
        <f aca="true" t="shared" si="14" ref="F77:R77">+F78+F79+F80</f>
        <v>121509408459</v>
      </c>
      <c r="G77" s="276">
        <f t="shared" si="14"/>
        <v>0</v>
      </c>
      <c r="H77" s="276">
        <f t="shared" si="14"/>
        <v>1371481334</v>
      </c>
      <c r="I77" s="276">
        <f t="shared" si="14"/>
        <v>0</v>
      </c>
      <c r="J77" s="276">
        <f t="shared" si="14"/>
        <v>0</v>
      </c>
      <c r="K77" s="276">
        <f t="shared" si="14"/>
        <v>0</v>
      </c>
      <c r="L77" s="276">
        <f t="shared" si="14"/>
        <v>0</v>
      </c>
      <c r="M77" s="276">
        <f t="shared" si="14"/>
        <v>0</v>
      </c>
      <c r="N77" s="276">
        <f>+N78+N79+N80</f>
        <v>0</v>
      </c>
      <c r="O77" s="276">
        <f>+O78+O79+O80</f>
        <v>0</v>
      </c>
      <c r="P77" s="276">
        <f>+P78+P79+P80</f>
        <v>0</v>
      </c>
      <c r="Q77" s="276">
        <f>+Q78+Q79+Q80</f>
        <v>0</v>
      </c>
      <c r="R77" s="276">
        <f t="shared" si="14"/>
        <v>122880889793</v>
      </c>
    </row>
    <row r="78" spans="1:18" ht="26.25" customHeight="1">
      <c r="A78" s="233"/>
      <c r="B78" s="235" t="s">
        <v>198</v>
      </c>
      <c r="C78" s="238" t="s">
        <v>227</v>
      </c>
      <c r="D78" s="242"/>
      <c r="E78" s="240">
        <v>122009408459</v>
      </c>
      <c r="F78" s="240">
        <v>121509408459</v>
      </c>
      <c r="G78" s="240"/>
      <c r="H78" s="240">
        <v>500000000</v>
      </c>
      <c r="I78" s="240"/>
      <c r="J78" s="240"/>
      <c r="K78" s="240"/>
      <c r="L78" s="240"/>
      <c r="M78" s="240"/>
      <c r="N78" s="240"/>
      <c r="O78" s="240"/>
      <c r="P78" s="240"/>
      <c r="Q78" s="240"/>
      <c r="R78" s="240">
        <f>SUM(F78:Q78)</f>
        <v>122009408459</v>
      </c>
    </row>
    <row r="79" spans="1:18" ht="26.25" customHeight="1">
      <c r="A79" s="233"/>
      <c r="B79" s="235" t="s">
        <v>198</v>
      </c>
      <c r="C79" s="238" t="s">
        <v>228</v>
      </c>
      <c r="D79" s="242"/>
      <c r="E79" s="240">
        <v>0</v>
      </c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>
        <f>SUM(F79:Q79)</f>
        <v>0</v>
      </c>
    </row>
    <row r="80" spans="1:18" ht="26.25" customHeight="1">
      <c r="A80" s="233"/>
      <c r="B80" s="235" t="s">
        <v>198</v>
      </c>
      <c r="C80" s="238" t="s">
        <v>229</v>
      </c>
      <c r="D80" s="242"/>
      <c r="E80" s="240">
        <v>871481334</v>
      </c>
      <c r="F80" s="240"/>
      <c r="G80" s="240"/>
      <c r="H80" s="240">
        <v>871481334</v>
      </c>
      <c r="I80" s="240"/>
      <c r="J80" s="240"/>
      <c r="K80" s="240"/>
      <c r="L80" s="240"/>
      <c r="M80" s="240"/>
      <c r="N80" s="240"/>
      <c r="O80" s="240"/>
      <c r="P80" s="240"/>
      <c r="Q80" s="240"/>
      <c r="R80" s="240">
        <f>SUM(F80:Q80)</f>
        <v>871481334</v>
      </c>
    </row>
    <row r="81" spans="1:18" ht="26.25" customHeight="1">
      <c r="A81" s="233"/>
      <c r="B81" s="269" t="s">
        <v>111</v>
      </c>
      <c r="C81" s="238"/>
      <c r="D81" s="242"/>
      <c r="E81" s="250">
        <v>10249747504</v>
      </c>
      <c r="F81" s="250">
        <f aca="true" t="shared" si="15" ref="F81:R81">+F82</f>
        <v>10249747504</v>
      </c>
      <c r="G81" s="250">
        <f t="shared" si="15"/>
        <v>0</v>
      </c>
      <c r="H81" s="250">
        <f t="shared" si="15"/>
        <v>0</v>
      </c>
      <c r="I81" s="250">
        <f t="shared" si="15"/>
        <v>0</v>
      </c>
      <c r="J81" s="250">
        <f t="shared" si="15"/>
        <v>0</v>
      </c>
      <c r="K81" s="250">
        <f t="shared" si="15"/>
        <v>0</v>
      </c>
      <c r="L81" s="250">
        <f t="shared" si="15"/>
        <v>0</v>
      </c>
      <c r="M81" s="250">
        <f t="shared" si="15"/>
        <v>0</v>
      </c>
      <c r="N81" s="250">
        <f t="shared" si="15"/>
        <v>0</v>
      </c>
      <c r="O81" s="250">
        <f t="shared" si="15"/>
        <v>0</v>
      </c>
      <c r="P81" s="250">
        <f t="shared" si="15"/>
        <v>0</v>
      </c>
      <c r="Q81" s="250">
        <f t="shared" si="15"/>
        <v>0</v>
      </c>
      <c r="R81" s="250">
        <f t="shared" si="15"/>
        <v>10249747504</v>
      </c>
    </row>
    <row r="82" spans="1:18" ht="26.25" customHeight="1">
      <c r="A82" s="233"/>
      <c r="B82" s="235" t="s">
        <v>198</v>
      </c>
      <c r="C82" s="238" t="s">
        <v>230</v>
      </c>
      <c r="D82" s="242"/>
      <c r="E82" s="240">
        <v>10249747504</v>
      </c>
      <c r="F82" s="240">
        <v>10249747504</v>
      </c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>
        <f>SUM(F82:Q82)</f>
        <v>10249747504</v>
      </c>
    </row>
    <row r="83" spans="1:18" ht="26.25" customHeight="1">
      <c r="A83" s="233"/>
      <c r="B83" s="269" t="s">
        <v>231</v>
      </c>
      <c r="C83" s="238"/>
      <c r="D83" s="242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</row>
    <row r="84" spans="1:18" ht="26.25" customHeight="1">
      <c r="A84" s="233"/>
      <c r="B84" s="269" t="s">
        <v>192</v>
      </c>
      <c r="C84" s="238"/>
      <c r="D84" s="242"/>
      <c r="E84" s="240">
        <v>38080000</v>
      </c>
      <c r="F84" s="240">
        <f>+F85</f>
        <v>23220000</v>
      </c>
      <c r="G84" s="240">
        <f aca="true" t="shared" si="16" ref="G84:R84">+G85</f>
        <v>0</v>
      </c>
      <c r="H84" s="240">
        <f t="shared" si="16"/>
        <v>0</v>
      </c>
      <c r="I84" s="240">
        <f t="shared" si="16"/>
        <v>0</v>
      </c>
      <c r="J84" s="240">
        <f t="shared" si="16"/>
        <v>0</v>
      </c>
      <c r="K84" s="240">
        <f t="shared" si="16"/>
        <v>0</v>
      </c>
      <c r="L84" s="240">
        <f t="shared" si="16"/>
        <v>0</v>
      </c>
      <c r="M84" s="240">
        <f t="shared" si="16"/>
        <v>0</v>
      </c>
      <c r="N84" s="240">
        <f t="shared" si="16"/>
        <v>0</v>
      </c>
      <c r="O84" s="240">
        <f t="shared" si="16"/>
        <v>0</v>
      </c>
      <c r="P84" s="240">
        <f t="shared" si="16"/>
        <v>0</v>
      </c>
      <c r="Q84" s="240">
        <f t="shared" si="16"/>
        <v>0</v>
      </c>
      <c r="R84" s="240">
        <f t="shared" si="16"/>
        <v>23220000</v>
      </c>
    </row>
    <row r="85" spans="1:18" ht="26.25" customHeight="1">
      <c r="A85" s="233"/>
      <c r="B85" s="235"/>
      <c r="C85" s="238" t="s">
        <v>193</v>
      </c>
      <c r="D85" s="242"/>
      <c r="E85" s="240">
        <v>38080000</v>
      </c>
      <c r="F85" s="240">
        <v>23220000</v>
      </c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0">
        <f>SUM(F85:Q85)</f>
        <v>23220000</v>
      </c>
    </row>
    <row r="86" spans="1:18" ht="26.25" customHeight="1">
      <c r="A86" s="233"/>
      <c r="B86" s="234" t="s">
        <v>166</v>
      </c>
      <c r="C86" s="238"/>
      <c r="D86" s="242"/>
      <c r="E86" s="250">
        <v>1286482362</v>
      </c>
      <c r="F86" s="250">
        <f aca="true" t="shared" si="17" ref="F86:Q86">+F87+F88+F89</f>
        <v>-3443269911</v>
      </c>
      <c r="G86" s="250">
        <f t="shared" si="17"/>
        <v>512502912</v>
      </c>
      <c r="H86" s="250">
        <f t="shared" si="17"/>
        <v>-5833972916</v>
      </c>
      <c r="I86" s="250">
        <f t="shared" si="17"/>
        <v>1891372035</v>
      </c>
      <c r="J86" s="250">
        <f t="shared" si="17"/>
        <v>2497671076</v>
      </c>
      <c r="K86" s="250">
        <f t="shared" si="17"/>
        <v>384075079</v>
      </c>
      <c r="L86" s="250">
        <f t="shared" si="17"/>
        <v>-144298176</v>
      </c>
      <c r="M86" s="250">
        <f t="shared" si="17"/>
        <v>0</v>
      </c>
      <c r="N86" s="250">
        <f t="shared" si="17"/>
        <v>0</v>
      </c>
      <c r="O86" s="250">
        <f t="shared" si="17"/>
        <v>1960599903</v>
      </c>
      <c r="P86" s="250">
        <f t="shared" si="17"/>
        <v>4568807916</v>
      </c>
      <c r="Q86" s="250">
        <f t="shared" si="17"/>
        <v>-2150459963</v>
      </c>
      <c r="R86" s="250">
        <f>+R87+R88+R89</f>
        <v>243027955</v>
      </c>
    </row>
    <row r="87" spans="1:19" s="364" customFormat="1" ht="26.25" customHeight="1">
      <c r="A87" s="365"/>
      <c r="B87" s="366" t="s">
        <v>198</v>
      </c>
      <c r="C87" s="360" t="s">
        <v>93</v>
      </c>
      <c r="D87" s="361"/>
      <c r="E87" s="362">
        <f>1950000000</f>
        <v>1950000000</v>
      </c>
      <c r="F87" s="362">
        <v>2305823510</v>
      </c>
      <c r="G87" s="362"/>
      <c r="H87" s="362">
        <v>-355823510</v>
      </c>
      <c r="I87" s="362"/>
      <c r="J87" s="362"/>
      <c r="K87" s="362"/>
      <c r="L87" s="362"/>
      <c r="M87" s="362"/>
      <c r="N87" s="362"/>
      <c r="O87" s="362"/>
      <c r="P87" s="362"/>
      <c r="Q87" s="362"/>
      <c r="R87" s="362">
        <f>SUM(F87:Q87)+550000000</f>
        <v>2500000000</v>
      </c>
      <c r="S87" s="363"/>
    </row>
    <row r="88" spans="1:19" s="283" customFormat="1" ht="26.25" customHeight="1">
      <c r="A88" s="277"/>
      <c r="B88" s="278" t="s">
        <v>198</v>
      </c>
      <c r="C88" s="279" t="s">
        <v>232</v>
      </c>
      <c r="D88" s="280"/>
      <c r="E88" s="247">
        <f>-3184112007</f>
        <v>-3184112007</v>
      </c>
      <c r="F88" s="281">
        <v>-8206155171</v>
      </c>
      <c r="G88" s="281">
        <v>511884852</v>
      </c>
      <c r="H88" s="281">
        <v>-4516329741</v>
      </c>
      <c r="I88" s="281">
        <v>3314935921</v>
      </c>
      <c r="J88" s="281">
        <v>3333834446</v>
      </c>
      <c r="K88" s="281">
        <v>447198893</v>
      </c>
      <c r="L88" s="281">
        <v>220044979</v>
      </c>
      <c r="M88" s="281"/>
      <c r="N88" s="281">
        <f>496824370+88866635-585691005</f>
        <v>0</v>
      </c>
      <c r="O88" s="281">
        <v>2279212027</v>
      </c>
      <c r="P88" s="281">
        <v>3532728663</v>
      </c>
      <c r="Q88" s="281">
        <v>-1580872507</v>
      </c>
      <c r="R88" s="281">
        <f>SUM(F88:Q88)-550000000</f>
        <v>-1213517638</v>
      </c>
      <c r="S88" s="282"/>
    </row>
    <row r="89" spans="1:19" s="283" customFormat="1" ht="26.25" customHeight="1">
      <c r="A89" s="284"/>
      <c r="B89" s="278" t="s">
        <v>198</v>
      </c>
      <c r="C89" s="279" t="s">
        <v>74</v>
      </c>
      <c r="D89" s="285"/>
      <c r="E89" s="247">
        <v>2520594369</v>
      </c>
      <c r="F89" s="286">
        <f>+'손익계산서-사이트별(2018.12.31)'!F88</f>
        <v>2457061750</v>
      </c>
      <c r="G89" s="286">
        <f>+'손익계산서-사이트별(2018.12.31)'!G88</f>
        <v>618060</v>
      </c>
      <c r="H89" s="286">
        <f>+'손익계산서-사이트별(2018.12.31)'!H88</f>
        <v>-961819665</v>
      </c>
      <c r="I89" s="286">
        <f>+'손익계산서-사이트별(2018.12.31)'!I88</f>
        <v>-1423563886</v>
      </c>
      <c r="J89" s="286">
        <f>+'손익계산서-사이트별(2018.12.31)'!J88</f>
        <v>-836163370</v>
      </c>
      <c r="K89" s="286">
        <f>+'손익계산서-사이트별(2018.12.31)'!K88</f>
        <v>-63123814</v>
      </c>
      <c r="L89" s="286">
        <f>+'손익계산서-사이트별(2018.12.31)'!L88</f>
        <v>-364343155</v>
      </c>
      <c r="M89" s="286">
        <f>+'손익계산서-사이트별(2018.12.31)'!M88</f>
        <v>0</v>
      </c>
      <c r="N89" s="286">
        <f>+'손익계산서-사이트별(2018.12.31)'!N88</f>
        <v>0</v>
      </c>
      <c r="O89" s="286">
        <f>+'손익계산서-사이트별(2018.12.31)'!O88</f>
        <v>-318612124</v>
      </c>
      <c r="P89" s="286">
        <f>+'손익계산서-사이트별(2018.12.31)'!P88</f>
        <v>1036079253</v>
      </c>
      <c r="Q89" s="286">
        <f>+'손익계산서-사이트별(2018.12.31)'!Q88</f>
        <v>-569587456</v>
      </c>
      <c r="R89" s="281">
        <f>SUM(F89:Q89)</f>
        <v>-1043454407</v>
      </c>
      <c r="S89" s="282"/>
    </row>
    <row r="90" spans="1:18" ht="26.25" customHeight="1" thickBot="1">
      <c r="A90" s="233"/>
      <c r="B90" s="235"/>
      <c r="C90" s="275" t="s">
        <v>33</v>
      </c>
      <c r="D90" s="242"/>
      <c r="E90" s="250">
        <v>134455199659</v>
      </c>
      <c r="F90" s="250">
        <f>+F77+F81+F86+F83+F84</f>
        <v>128339106052</v>
      </c>
      <c r="G90" s="250">
        <f aca="true" t="shared" si="18" ref="G90:R90">+G77+G81+G86+G83+G84</f>
        <v>512502912</v>
      </c>
      <c r="H90" s="250">
        <f t="shared" si="18"/>
        <v>-4462491582</v>
      </c>
      <c r="I90" s="250">
        <f t="shared" si="18"/>
        <v>1891372035</v>
      </c>
      <c r="J90" s="250">
        <f t="shared" si="18"/>
        <v>2497671076</v>
      </c>
      <c r="K90" s="250">
        <f t="shared" si="18"/>
        <v>384075079</v>
      </c>
      <c r="L90" s="250">
        <f t="shared" si="18"/>
        <v>-144298176</v>
      </c>
      <c r="M90" s="250">
        <f t="shared" si="18"/>
        <v>0</v>
      </c>
      <c r="N90" s="250">
        <f t="shared" si="18"/>
        <v>0</v>
      </c>
      <c r="O90" s="250">
        <f t="shared" si="18"/>
        <v>1960599903</v>
      </c>
      <c r="P90" s="250">
        <f t="shared" si="18"/>
        <v>4568807916</v>
      </c>
      <c r="Q90" s="250">
        <f t="shared" si="18"/>
        <v>-2150459963</v>
      </c>
      <c r="R90" s="250">
        <f t="shared" si="18"/>
        <v>133396885252</v>
      </c>
    </row>
    <row r="91" spans="1:19" ht="26.25" customHeight="1" thickBot="1">
      <c r="A91" s="287"/>
      <c r="B91" s="494" t="s">
        <v>34</v>
      </c>
      <c r="C91" s="494"/>
      <c r="D91" s="264"/>
      <c r="E91" s="256">
        <v>145909502931</v>
      </c>
      <c r="F91" s="256">
        <f aca="true" t="shared" si="19" ref="F91:R91">+F90+F75</f>
        <v>133966657303</v>
      </c>
      <c r="G91" s="256">
        <f t="shared" si="19"/>
        <v>2251917468</v>
      </c>
      <c r="H91" s="256">
        <f t="shared" si="19"/>
        <v>2596886012</v>
      </c>
      <c r="I91" s="256">
        <f t="shared" si="19"/>
        <v>2248861677</v>
      </c>
      <c r="J91" s="256">
        <f t="shared" si="19"/>
        <v>4574182144</v>
      </c>
      <c r="K91" s="256">
        <f t="shared" si="19"/>
        <v>334372616</v>
      </c>
      <c r="L91" s="256">
        <f t="shared" si="19"/>
        <v>2088618102</v>
      </c>
      <c r="M91" s="256">
        <f t="shared" si="19"/>
        <v>0</v>
      </c>
      <c r="N91" s="256">
        <f t="shared" si="19"/>
        <v>0</v>
      </c>
      <c r="O91" s="256">
        <f t="shared" si="19"/>
        <v>1396761597</v>
      </c>
      <c r="P91" s="256">
        <f t="shared" si="19"/>
        <v>601436947</v>
      </c>
      <c r="Q91" s="256">
        <f t="shared" si="19"/>
        <v>521014661</v>
      </c>
      <c r="R91" s="256">
        <f t="shared" si="19"/>
        <v>150580708527</v>
      </c>
      <c r="S91" s="218">
        <f>+R54-R75-R90</f>
        <v>0</v>
      </c>
    </row>
    <row r="92" spans="5:18" ht="26.25" customHeight="1">
      <c r="E92" s="288">
        <v>0</v>
      </c>
      <c r="F92" s="288">
        <f aca="true" t="shared" si="20" ref="F92:R92">+F54-F91</f>
        <v>0</v>
      </c>
      <c r="G92" s="288">
        <f t="shared" si="20"/>
        <v>0</v>
      </c>
      <c r="H92" s="288">
        <f t="shared" si="20"/>
        <v>0</v>
      </c>
      <c r="I92" s="288">
        <f t="shared" si="20"/>
        <v>0</v>
      </c>
      <c r="J92" s="288">
        <f t="shared" si="20"/>
        <v>0</v>
      </c>
      <c r="K92" s="288">
        <f t="shared" si="20"/>
        <v>0</v>
      </c>
      <c r="L92" s="288">
        <f t="shared" si="20"/>
        <v>0</v>
      </c>
      <c r="M92" s="288">
        <f t="shared" si="20"/>
        <v>0</v>
      </c>
      <c r="N92" s="288">
        <f t="shared" si="20"/>
        <v>0</v>
      </c>
      <c r="O92" s="288">
        <f t="shared" si="20"/>
        <v>0</v>
      </c>
      <c r="P92" s="288">
        <f t="shared" si="20"/>
        <v>0</v>
      </c>
      <c r="Q92" s="288">
        <f t="shared" si="20"/>
        <v>0</v>
      </c>
      <c r="R92" s="288">
        <f t="shared" si="20"/>
        <v>0</v>
      </c>
    </row>
    <row r="93" spans="5:18" ht="28.5" customHeight="1">
      <c r="E93" s="288">
        <v>0</v>
      </c>
      <c r="F93" s="288">
        <f>+F89-'손익계산서-사이트별(2018.12.31)'!F88</f>
        <v>0</v>
      </c>
      <c r="G93" s="288">
        <f>+G89-'손익계산서-사이트별(2018.12.31)'!G88</f>
        <v>0</v>
      </c>
      <c r="H93" s="288">
        <f>+H89-'손익계산서-사이트별(2018.12.31)'!H88</f>
        <v>0</v>
      </c>
      <c r="I93" s="288">
        <f>+I89-'손익계산서-사이트별(2018.12.31)'!I88</f>
        <v>0</v>
      </c>
      <c r="J93" s="288">
        <f>+J89-'손익계산서-사이트별(2018.12.31)'!J88</f>
        <v>0</v>
      </c>
      <c r="K93" s="288">
        <f>+K89-'손익계산서-사이트별(2018.12.31)'!K88</f>
        <v>0</v>
      </c>
      <c r="L93" s="288">
        <f>+L89-'손익계산서-사이트별(2018.12.31)'!L88</f>
        <v>0</v>
      </c>
      <c r="M93" s="288">
        <f>+M89-'손익계산서-사이트별(2018.12.31)'!M88</f>
        <v>0</v>
      </c>
      <c r="N93" s="288">
        <f>+N89-'손익계산서-사이트별(2018.12.31)'!N88</f>
        <v>0</v>
      </c>
      <c r="O93" s="288">
        <f>+O89-'손익계산서-사이트별(2018.12.31)'!O88</f>
        <v>0</v>
      </c>
      <c r="P93" s="288">
        <f>+P89-'손익계산서-사이트별(2018.12.31)'!P88</f>
        <v>0</v>
      </c>
      <c r="Q93" s="288">
        <f>+Q89-'손익계산서-사이트별(2018.12.31)'!Q88</f>
        <v>0</v>
      </c>
      <c r="R93" s="288">
        <f>+R89-'손익계산서-사이트별(2018.12.31)'!R88</f>
        <v>0</v>
      </c>
    </row>
    <row r="94" ht="19.5" customHeight="1">
      <c r="F94" s="288"/>
    </row>
    <row r="95" ht="19.5" customHeight="1">
      <c r="F95" s="288"/>
    </row>
    <row r="98" spans="1:19" s="221" customFormat="1" ht="19.5" customHeight="1">
      <c r="A98" s="219"/>
      <c r="B98" s="219"/>
      <c r="C98" s="219"/>
      <c r="D98" s="219"/>
      <c r="K98" s="289"/>
      <c r="L98" s="289"/>
      <c r="S98" s="290"/>
    </row>
  </sheetData>
  <sheetProtection/>
  <mergeCells count="6">
    <mergeCell ref="A1:R1"/>
    <mergeCell ref="A3:R3"/>
    <mergeCell ref="B54:C54"/>
    <mergeCell ref="B57:C57"/>
    <mergeCell ref="B76:C76"/>
    <mergeCell ref="B91:C91"/>
  </mergeCells>
  <printOptions horizontalCentered="1"/>
  <pageMargins left="0.15748031496062992" right="0.15748031496062992" top="0.1968503937007874" bottom="0.4330708661417323" header="0.15748031496062992" footer="0.31496062992125984"/>
  <pageSetup horizontalDpi="300" verticalDpi="3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Q95"/>
  <sheetViews>
    <sheetView zoomScaleSheetLayoutView="100" zoomScalePageLayoutView="0" workbookViewId="0" topLeftCell="A58">
      <selection activeCell="S93" sqref="S93"/>
    </sheetView>
  </sheetViews>
  <sheetFormatPr defaultColWidth="8.88671875" defaultRowHeight="19.5" customHeight="1"/>
  <cols>
    <col min="1" max="1" width="1.66796875" style="0" customWidth="1"/>
    <col min="2" max="2" width="3.6640625" style="0" customWidth="1"/>
    <col min="3" max="3" width="3.5546875" style="0" customWidth="1"/>
    <col min="4" max="4" width="16.21484375" style="0" customWidth="1"/>
    <col min="5" max="6" width="0.78125" style="0" customWidth="1"/>
    <col min="7" max="7" width="13.77734375" style="0" customWidth="1"/>
    <col min="8" max="9" width="0.78125" style="0" customWidth="1"/>
    <col min="10" max="10" width="13.77734375" style="0" customWidth="1"/>
    <col min="11" max="12" width="0.78125" style="0" customWidth="1"/>
    <col min="13" max="13" width="13.77734375" style="0" customWidth="1"/>
    <col min="14" max="15" width="0.78125" style="0" customWidth="1"/>
    <col min="16" max="16" width="13.77734375" style="0" customWidth="1"/>
    <col min="17" max="17" width="0.78125" style="0" customWidth="1"/>
  </cols>
  <sheetData>
    <row r="1" spans="1:16" ht="33" customHeight="1">
      <c r="A1" s="477" t="s">
        <v>39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</row>
    <row r="2" spans="1:16" ht="13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5" customHeight="1">
      <c r="A3" s="497" t="s">
        <v>414</v>
      </c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</row>
    <row r="4" spans="1:16" ht="15" customHeight="1">
      <c r="A4" s="497" t="s">
        <v>266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</row>
    <row r="5" spans="1:16" ht="21" customHeight="1" thickBot="1">
      <c r="A5" s="37" t="s">
        <v>38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39" t="s">
        <v>30</v>
      </c>
    </row>
    <row r="6" spans="1:17" s="189" customFormat="1" ht="19.5" customHeight="1">
      <c r="A6" s="185"/>
      <c r="B6" s="498" t="s">
        <v>75</v>
      </c>
      <c r="C6" s="498"/>
      <c r="D6" s="498"/>
      <c r="E6" s="186"/>
      <c r="F6" s="187"/>
      <c r="G6" s="500" t="s">
        <v>275</v>
      </c>
      <c r="H6" s="500"/>
      <c r="I6" s="500"/>
      <c r="J6" s="500"/>
      <c r="K6" s="188"/>
      <c r="L6" s="180"/>
      <c r="M6" s="500" t="s">
        <v>276</v>
      </c>
      <c r="N6" s="500"/>
      <c r="O6" s="500"/>
      <c r="P6" s="500"/>
      <c r="Q6" s="183"/>
    </row>
    <row r="7" spans="1:17" s="189" customFormat="1" ht="19.5" customHeight="1" thickBot="1">
      <c r="A7" s="190"/>
      <c r="B7" s="499"/>
      <c r="C7" s="499"/>
      <c r="D7" s="499"/>
      <c r="E7" s="191"/>
      <c r="F7" s="192"/>
      <c r="G7" s="484" t="s">
        <v>109</v>
      </c>
      <c r="H7" s="484"/>
      <c r="I7" s="484"/>
      <c r="J7" s="484"/>
      <c r="K7" s="193"/>
      <c r="L7" s="194"/>
      <c r="M7" s="484" t="s">
        <v>109</v>
      </c>
      <c r="N7" s="484"/>
      <c r="O7" s="484"/>
      <c r="P7" s="484"/>
      <c r="Q7" s="184"/>
    </row>
    <row r="8" spans="1:17" ht="5.25" customHeight="1">
      <c r="A8" s="16"/>
      <c r="B8" s="17"/>
      <c r="C8" s="17"/>
      <c r="D8" s="17"/>
      <c r="E8" s="18"/>
      <c r="F8" s="17"/>
      <c r="G8" s="59"/>
      <c r="H8" s="61"/>
      <c r="I8" s="59"/>
      <c r="J8" s="59"/>
      <c r="K8" s="61"/>
      <c r="L8" s="59"/>
      <c r="M8" s="62"/>
      <c r="N8" s="64"/>
      <c r="O8" s="62"/>
      <c r="P8" s="62"/>
      <c r="Q8" s="33"/>
    </row>
    <row r="9" spans="1:17" ht="22.5" customHeight="1">
      <c r="A9" s="19"/>
      <c r="B9" s="82" t="s">
        <v>0</v>
      </c>
      <c r="C9" s="489" t="s">
        <v>42</v>
      </c>
      <c r="D9" s="489"/>
      <c r="E9" s="46"/>
      <c r="F9" s="47"/>
      <c r="G9" s="48"/>
      <c r="H9" s="49"/>
      <c r="I9" s="48"/>
      <c r="J9" s="48">
        <f>SUM(G11:G27)</f>
        <v>48710368290</v>
      </c>
      <c r="K9" s="49"/>
      <c r="L9" s="48"/>
      <c r="M9" s="48"/>
      <c r="N9" s="49"/>
      <c r="O9" s="48"/>
      <c r="P9" s="48">
        <f>SUM(M11:M27)</f>
        <v>51632651232</v>
      </c>
      <c r="Q9" s="33"/>
    </row>
    <row r="10" spans="1:17" ht="15.75" customHeight="1">
      <c r="A10" s="19"/>
      <c r="B10" s="15"/>
      <c r="C10" s="6"/>
      <c r="D10" s="3"/>
      <c r="E10" s="7"/>
      <c r="F10" s="14"/>
      <c r="G10" s="41"/>
      <c r="H10" s="42"/>
      <c r="I10" s="41"/>
      <c r="J10" s="41"/>
      <c r="K10" s="42"/>
      <c r="L10" s="41"/>
      <c r="M10" s="41"/>
      <c r="N10" s="42"/>
      <c r="O10" s="41"/>
      <c r="P10" s="41"/>
      <c r="Q10" s="33"/>
    </row>
    <row r="11" spans="1:17" ht="19.5" customHeight="1">
      <c r="A11" s="19"/>
      <c r="B11" s="14"/>
      <c r="C11" s="35">
        <v>1</v>
      </c>
      <c r="D11" s="9" t="s">
        <v>76</v>
      </c>
      <c r="E11" s="10"/>
      <c r="F11" s="9"/>
      <c r="G11" s="69">
        <f>+'손익계산서-사이트별(2018.12.31)'!R11</f>
        <v>3845945413</v>
      </c>
      <c r="H11" s="70"/>
      <c r="I11" s="69"/>
      <c r="J11" s="41"/>
      <c r="K11" s="42"/>
      <c r="L11" s="41"/>
      <c r="M11" s="69">
        <v>3437756156</v>
      </c>
      <c r="N11" s="70"/>
      <c r="O11" s="69"/>
      <c r="P11" s="41"/>
      <c r="Q11" s="33"/>
    </row>
    <row r="12" spans="1:17" ht="19.5" customHeight="1">
      <c r="A12" s="19"/>
      <c r="B12" s="14"/>
      <c r="C12" s="35">
        <f aca="true" t="shared" si="0" ref="C12:C27">C11+1</f>
        <v>2</v>
      </c>
      <c r="D12" s="9" t="s">
        <v>77</v>
      </c>
      <c r="E12" s="10"/>
      <c r="F12" s="9"/>
      <c r="G12" s="69">
        <f>+'손익계산서-사이트별(2018.12.31)'!R12</f>
        <v>0</v>
      </c>
      <c r="H12" s="70"/>
      <c r="I12" s="69"/>
      <c r="J12" s="41"/>
      <c r="K12" s="42"/>
      <c r="L12" s="41"/>
      <c r="M12" s="69"/>
      <c r="N12" s="70"/>
      <c r="O12" s="69"/>
      <c r="P12" s="41"/>
      <c r="Q12" s="33"/>
    </row>
    <row r="13" spans="1:17" ht="19.5" customHeight="1">
      <c r="A13" s="19"/>
      <c r="B13" s="14"/>
      <c r="C13" s="35">
        <f t="shared" si="0"/>
        <v>3</v>
      </c>
      <c r="D13" s="9" t="s">
        <v>123</v>
      </c>
      <c r="E13" s="10"/>
      <c r="F13" s="9"/>
      <c r="G13" s="69">
        <f>+'손익계산서-사이트별(2018.12.31)'!R13</f>
        <v>4360000</v>
      </c>
      <c r="H13" s="70"/>
      <c r="I13" s="69"/>
      <c r="J13" s="41"/>
      <c r="K13" s="42"/>
      <c r="L13" s="41"/>
      <c r="M13" s="69">
        <v>48370000</v>
      </c>
      <c r="N13" s="70"/>
      <c r="O13" s="69"/>
      <c r="P13" s="41"/>
      <c r="Q13" s="33"/>
    </row>
    <row r="14" spans="1:17" ht="19.5" customHeight="1">
      <c r="A14" s="19"/>
      <c r="B14" s="14"/>
      <c r="C14" s="35">
        <f t="shared" si="0"/>
        <v>4</v>
      </c>
      <c r="D14" s="9" t="s">
        <v>179</v>
      </c>
      <c r="E14" s="10"/>
      <c r="F14" s="9"/>
      <c r="G14" s="69">
        <f>+'손익계산서-사이트별(2018.12.31)'!R14</f>
        <v>1228469637</v>
      </c>
      <c r="H14" s="70"/>
      <c r="I14" s="69"/>
      <c r="J14" s="41"/>
      <c r="K14" s="42"/>
      <c r="L14" s="41"/>
      <c r="M14" s="69">
        <v>2426293955</v>
      </c>
      <c r="N14" s="70"/>
      <c r="O14" s="69"/>
      <c r="P14" s="41"/>
      <c r="Q14" s="33"/>
    </row>
    <row r="15" spans="1:17" ht="19.5" customHeight="1">
      <c r="A15" s="19"/>
      <c r="B15" s="14"/>
      <c r="C15" s="35">
        <f t="shared" si="0"/>
        <v>5</v>
      </c>
      <c r="D15" s="9" t="s">
        <v>78</v>
      </c>
      <c r="E15" s="10"/>
      <c r="F15" s="9"/>
      <c r="G15" s="69">
        <f>+'손익계산서-사이트별(2018.12.31)'!R15</f>
        <v>271039600</v>
      </c>
      <c r="H15" s="70"/>
      <c r="I15" s="69"/>
      <c r="J15" s="41"/>
      <c r="K15" s="42"/>
      <c r="L15" s="41"/>
      <c r="M15" s="69">
        <v>266599000</v>
      </c>
      <c r="N15" s="70"/>
      <c r="O15" s="69"/>
      <c r="P15" s="41"/>
      <c r="Q15" s="33"/>
    </row>
    <row r="16" spans="1:17" ht="19.5" customHeight="1">
      <c r="A16" s="19"/>
      <c r="B16" s="14"/>
      <c r="C16" s="35">
        <f t="shared" si="0"/>
        <v>6</v>
      </c>
      <c r="D16" s="9" t="s">
        <v>79</v>
      </c>
      <c r="E16" s="10"/>
      <c r="F16" s="9"/>
      <c r="G16" s="476">
        <f>+'손익계산서-사이트별(2018.12.31)'!R16</f>
        <v>53350364</v>
      </c>
      <c r="H16" s="70"/>
      <c r="I16" s="69"/>
      <c r="J16" s="41"/>
      <c r="K16" s="42"/>
      <c r="L16" s="41"/>
      <c r="M16" s="69">
        <v>21600000</v>
      </c>
      <c r="N16" s="70"/>
      <c r="O16" s="69"/>
      <c r="P16" s="41"/>
      <c r="Q16" s="33"/>
    </row>
    <row r="17" spans="1:17" ht="19.5" customHeight="1">
      <c r="A17" s="19"/>
      <c r="B17" s="14"/>
      <c r="C17" s="35">
        <f t="shared" si="0"/>
        <v>7</v>
      </c>
      <c r="D17" s="9" t="s">
        <v>80</v>
      </c>
      <c r="E17" s="10"/>
      <c r="F17" s="9"/>
      <c r="G17" s="69">
        <f>+'손익계산서-사이트별(2018.12.31)'!R17</f>
        <v>333059916</v>
      </c>
      <c r="H17" s="70"/>
      <c r="I17" s="69"/>
      <c r="J17" s="41"/>
      <c r="K17" s="42"/>
      <c r="L17" s="41"/>
      <c r="M17" s="69">
        <v>297854553</v>
      </c>
      <c r="N17" s="70"/>
      <c r="O17" s="69"/>
      <c r="P17" s="41"/>
      <c r="Q17" s="33"/>
    </row>
    <row r="18" spans="1:17" ht="19.5" customHeight="1">
      <c r="A18" s="19"/>
      <c r="B18" s="14"/>
      <c r="C18" s="35">
        <f t="shared" si="0"/>
        <v>8</v>
      </c>
      <c r="D18" s="9" t="s">
        <v>40</v>
      </c>
      <c r="E18" s="10"/>
      <c r="F18" s="9"/>
      <c r="G18" s="69">
        <f>+'손익계산서-사이트별(2018.12.31)'!R18</f>
        <v>0</v>
      </c>
      <c r="H18" s="70"/>
      <c r="I18" s="69"/>
      <c r="J18" s="41"/>
      <c r="K18" s="42"/>
      <c r="L18" s="41"/>
      <c r="M18" s="69">
        <v>0</v>
      </c>
      <c r="N18" s="70"/>
      <c r="O18" s="69"/>
      <c r="P18" s="41"/>
      <c r="Q18" s="33"/>
    </row>
    <row r="19" spans="1:17" ht="19.5" customHeight="1">
      <c r="A19" s="19"/>
      <c r="B19" s="14"/>
      <c r="C19" s="35">
        <f t="shared" si="0"/>
        <v>9</v>
      </c>
      <c r="D19" s="9" t="s">
        <v>119</v>
      </c>
      <c r="E19" s="10"/>
      <c r="F19" s="9"/>
      <c r="G19" s="476">
        <f>+'손익계산서-사이트별(2018.12.31)'!R19</f>
        <v>897996602</v>
      </c>
      <c r="H19" s="70"/>
      <c r="I19" s="69"/>
      <c r="J19" s="41"/>
      <c r="K19" s="42"/>
      <c r="L19" s="41"/>
      <c r="M19" s="69">
        <v>904637910</v>
      </c>
      <c r="N19" s="70"/>
      <c r="O19" s="69"/>
      <c r="P19" s="41"/>
      <c r="Q19" s="33"/>
    </row>
    <row r="20" spans="1:17" ht="19.5" customHeight="1">
      <c r="A20" s="19"/>
      <c r="B20" s="14"/>
      <c r="C20" s="35">
        <v>10</v>
      </c>
      <c r="D20" s="9" t="s">
        <v>107</v>
      </c>
      <c r="E20" s="10"/>
      <c r="F20" s="9"/>
      <c r="G20" s="476">
        <f>+'손익계산서-사이트별(2018.12.31)'!R20</f>
        <v>114082978</v>
      </c>
      <c r="H20" s="70"/>
      <c r="I20" s="69"/>
      <c r="J20" s="41"/>
      <c r="K20" s="42"/>
      <c r="L20" s="41"/>
      <c r="M20" s="69">
        <v>122464902</v>
      </c>
      <c r="N20" s="70"/>
      <c r="O20" s="69"/>
      <c r="P20" s="41"/>
      <c r="Q20" s="33"/>
    </row>
    <row r="21" spans="1:17" ht="19.5" customHeight="1">
      <c r="A21" s="19"/>
      <c r="B21" s="14"/>
      <c r="C21" s="163">
        <v>11</v>
      </c>
      <c r="D21" s="9" t="s">
        <v>108</v>
      </c>
      <c r="E21" s="10"/>
      <c r="F21" s="9"/>
      <c r="G21" s="69">
        <f>+'손익계산서-사이트별(2018.12.31)'!R21</f>
        <v>40177000000</v>
      </c>
      <c r="H21" s="70"/>
      <c r="I21" s="69"/>
      <c r="J21" s="41"/>
      <c r="K21" s="42"/>
      <c r="L21" s="41"/>
      <c r="M21" s="69">
        <v>41697000000</v>
      </c>
      <c r="N21" s="70"/>
      <c r="O21" s="69"/>
      <c r="P21" s="41"/>
      <c r="Q21" s="33"/>
    </row>
    <row r="22" spans="1:17" ht="19.5" customHeight="1">
      <c r="A22" s="19"/>
      <c r="B22" s="14"/>
      <c r="C22" s="35">
        <f t="shared" si="0"/>
        <v>12</v>
      </c>
      <c r="D22" s="9" t="s">
        <v>88</v>
      </c>
      <c r="E22" s="10"/>
      <c r="F22" s="9"/>
      <c r="G22" s="476">
        <f>+'손익계산서-사이트별(2018.12.31)'!R22</f>
        <v>388776363</v>
      </c>
      <c r="H22" s="70"/>
      <c r="I22" s="69"/>
      <c r="J22" s="41"/>
      <c r="K22" s="42"/>
      <c r="L22" s="41"/>
      <c r="M22" s="69">
        <v>413398211</v>
      </c>
      <c r="N22" s="70"/>
      <c r="O22" s="69"/>
      <c r="P22" s="41"/>
      <c r="Q22" s="33"/>
    </row>
    <row r="23" spans="1:17" ht="19.5" customHeight="1">
      <c r="A23" s="19"/>
      <c r="B23" s="14"/>
      <c r="C23" s="35">
        <f t="shared" si="0"/>
        <v>13</v>
      </c>
      <c r="D23" s="9" t="s">
        <v>167</v>
      </c>
      <c r="E23" s="10"/>
      <c r="F23" s="9"/>
      <c r="G23" s="69">
        <f>+'손익계산서-사이트별(2018.12.31)'!R23</f>
        <v>482111445</v>
      </c>
      <c r="H23" s="70"/>
      <c r="I23" s="69"/>
      <c r="J23" s="41"/>
      <c r="K23" s="42"/>
      <c r="L23" s="41"/>
      <c r="M23" s="69">
        <v>372166014</v>
      </c>
      <c r="N23" s="70"/>
      <c r="O23" s="69"/>
      <c r="P23" s="41"/>
      <c r="Q23" s="33"/>
    </row>
    <row r="24" spans="1:17" ht="19.5" customHeight="1">
      <c r="A24" s="19"/>
      <c r="B24" s="14"/>
      <c r="C24" s="35">
        <f t="shared" si="0"/>
        <v>14</v>
      </c>
      <c r="D24" s="9" t="s">
        <v>121</v>
      </c>
      <c r="E24" s="10"/>
      <c r="F24" s="9"/>
      <c r="G24" s="69">
        <f>+'손익계산서-사이트별(2018.12.31)'!R24</f>
        <v>0</v>
      </c>
      <c r="H24" s="70"/>
      <c r="I24" s="69"/>
      <c r="J24" s="41"/>
      <c r="K24" s="42"/>
      <c r="L24" s="41"/>
      <c r="M24" s="69">
        <v>0</v>
      </c>
      <c r="N24" s="70"/>
      <c r="O24" s="69"/>
      <c r="P24" s="41"/>
      <c r="Q24" s="33"/>
    </row>
    <row r="25" spans="1:17" ht="19.5" customHeight="1">
      <c r="A25" s="19"/>
      <c r="B25" s="14"/>
      <c r="C25" s="35">
        <f t="shared" si="0"/>
        <v>15</v>
      </c>
      <c r="D25" s="9" t="s">
        <v>122</v>
      </c>
      <c r="E25" s="10"/>
      <c r="F25" s="9"/>
      <c r="G25" s="69">
        <f>+'손익계산서-사이트별(2018.12.31)'!R25</f>
        <v>767443738</v>
      </c>
      <c r="H25" s="70"/>
      <c r="I25" s="69"/>
      <c r="J25" s="41"/>
      <c r="K25" s="42"/>
      <c r="L25" s="41"/>
      <c r="M25" s="69">
        <v>1453680888</v>
      </c>
      <c r="N25" s="70"/>
      <c r="O25" s="69"/>
      <c r="P25" s="41"/>
      <c r="Q25" s="33"/>
    </row>
    <row r="26" spans="1:17" ht="19.5" customHeight="1">
      <c r="A26" s="19"/>
      <c r="B26" s="14"/>
      <c r="C26" s="35">
        <f t="shared" si="0"/>
        <v>16</v>
      </c>
      <c r="D26" s="9" t="s">
        <v>195</v>
      </c>
      <c r="E26" s="10"/>
      <c r="F26" s="9"/>
      <c r="G26" s="69">
        <f>+'손익계산서-사이트별(2018.12.31)'!R26</f>
        <v>142147304</v>
      </c>
      <c r="H26" s="70"/>
      <c r="I26" s="69"/>
      <c r="J26" s="41"/>
      <c r="K26" s="42"/>
      <c r="L26" s="41"/>
      <c r="M26" s="69">
        <v>167650068</v>
      </c>
      <c r="N26" s="70"/>
      <c r="O26" s="69"/>
      <c r="P26" s="41"/>
      <c r="Q26" s="33"/>
    </row>
    <row r="27" spans="1:17" ht="19.5" customHeight="1">
      <c r="A27" s="19"/>
      <c r="B27" s="14"/>
      <c r="C27" s="35">
        <f t="shared" si="0"/>
        <v>17</v>
      </c>
      <c r="D27" s="9" t="s">
        <v>182</v>
      </c>
      <c r="E27" s="10"/>
      <c r="F27" s="9"/>
      <c r="G27" s="69">
        <f>+'손익계산서-사이트별(2018.12.31)'!R27</f>
        <v>4584930</v>
      </c>
      <c r="H27" s="70"/>
      <c r="I27" s="69"/>
      <c r="J27" s="41"/>
      <c r="K27" s="42"/>
      <c r="L27" s="41"/>
      <c r="M27" s="69">
        <v>3179575</v>
      </c>
      <c r="N27" s="70"/>
      <c r="O27" s="69"/>
      <c r="P27" s="41"/>
      <c r="Q27" s="33"/>
    </row>
    <row r="28" spans="1:17" ht="19.5" customHeight="1">
      <c r="A28" s="19"/>
      <c r="B28" s="14"/>
      <c r="C28" s="35"/>
      <c r="D28" s="9"/>
      <c r="E28" s="10"/>
      <c r="F28" s="9"/>
      <c r="G28" s="69"/>
      <c r="H28" s="70"/>
      <c r="I28" s="69"/>
      <c r="J28" s="41"/>
      <c r="K28" s="42"/>
      <c r="L28" s="41"/>
      <c r="M28" s="69"/>
      <c r="N28" s="70"/>
      <c r="O28" s="69"/>
      <c r="P28" s="41"/>
      <c r="Q28" s="33"/>
    </row>
    <row r="29" spans="1:17" ht="5.25" customHeight="1">
      <c r="A29" s="19"/>
      <c r="B29" s="14"/>
      <c r="C29" s="8"/>
      <c r="D29" s="9"/>
      <c r="E29" s="10"/>
      <c r="F29" s="9"/>
      <c r="G29" s="41"/>
      <c r="H29" s="42"/>
      <c r="I29" s="41"/>
      <c r="J29" s="41"/>
      <c r="K29" s="42"/>
      <c r="L29" s="41"/>
      <c r="M29" s="41"/>
      <c r="N29" s="42"/>
      <c r="O29" s="41"/>
      <c r="P29" s="41"/>
      <c r="Q29" s="33"/>
    </row>
    <row r="30" spans="1:17" ht="22.5" customHeight="1">
      <c r="A30" s="19"/>
      <c r="B30" s="82" t="s">
        <v>3</v>
      </c>
      <c r="C30" s="489" t="s">
        <v>174</v>
      </c>
      <c r="D30" s="489"/>
      <c r="E30" s="51"/>
      <c r="F30" s="52"/>
      <c r="G30" s="48"/>
      <c r="H30" s="49"/>
      <c r="I30" s="48"/>
      <c r="J30" s="48">
        <f>SUM(G32:G34)</f>
        <v>45013049100</v>
      </c>
      <c r="K30" s="49"/>
      <c r="L30" s="48"/>
      <c r="M30" s="48"/>
      <c r="N30" s="49"/>
      <c r="O30" s="48"/>
      <c r="P30" s="48">
        <f>SUM(M32:M34)</f>
        <v>44121603244</v>
      </c>
      <c r="Q30" s="33"/>
    </row>
    <row r="31" spans="1:17" ht="5.25" customHeight="1">
      <c r="A31" s="19"/>
      <c r="B31" s="15"/>
      <c r="C31" s="6"/>
      <c r="D31" s="6"/>
      <c r="E31" s="11"/>
      <c r="F31" s="58"/>
      <c r="G31" s="41"/>
      <c r="H31" s="42"/>
      <c r="I31" s="41"/>
      <c r="J31" s="41"/>
      <c r="K31" s="42"/>
      <c r="L31" s="41"/>
      <c r="M31" s="41"/>
      <c r="N31" s="42"/>
      <c r="O31" s="41"/>
      <c r="P31" s="41"/>
      <c r="Q31" s="33"/>
    </row>
    <row r="32" spans="1:17" ht="19.5" customHeight="1">
      <c r="A32" s="19"/>
      <c r="B32" s="14"/>
      <c r="C32" s="35">
        <v>1</v>
      </c>
      <c r="D32" s="9" t="s">
        <v>187</v>
      </c>
      <c r="E32" s="10"/>
      <c r="F32" s="9"/>
      <c r="G32" s="41">
        <f>+'손익계산서-사이트별(2018.12.31)'!R30</f>
        <v>1864239685</v>
      </c>
      <c r="H32" s="41"/>
      <c r="I32" s="43"/>
      <c r="J32" s="41"/>
      <c r="K32" s="42"/>
      <c r="L32" s="41"/>
      <c r="M32" s="41">
        <v>2429523058</v>
      </c>
      <c r="N32" s="41"/>
      <c r="O32" s="43"/>
      <c r="P32" s="41"/>
      <c r="Q32" s="33"/>
    </row>
    <row r="33" spans="1:17" ht="19.5" customHeight="1">
      <c r="A33" s="19"/>
      <c r="B33" s="14"/>
      <c r="C33" s="35">
        <f>C32+1</f>
        <v>2</v>
      </c>
      <c r="D33" s="9" t="s">
        <v>41</v>
      </c>
      <c r="E33" s="10"/>
      <c r="F33" s="9"/>
      <c r="G33" s="41">
        <f>+'손익계산서-사이트별(2018.12.31)'!R31</f>
        <v>42649050501</v>
      </c>
      <c r="H33" s="41"/>
      <c r="I33" s="43"/>
      <c r="J33" s="41"/>
      <c r="K33" s="42"/>
      <c r="L33" s="41"/>
      <c r="M33" s="41">
        <v>41184952870</v>
      </c>
      <c r="N33" s="41"/>
      <c r="O33" s="43"/>
      <c r="P33" s="41"/>
      <c r="Q33" s="33"/>
    </row>
    <row r="34" spans="1:17" ht="19.5" customHeight="1">
      <c r="A34" s="19"/>
      <c r="B34" s="14"/>
      <c r="C34" s="35">
        <f>C33+1</f>
        <v>3</v>
      </c>
      <c r="D34" s="9" t="s">
        <v>59</v>
      </c>
      <c r="E34" s="10"/>
      <c r="F34" s="9"/>
      <c r="G34" s="41">
        <f>+'손익계산서-사이트별(2018.12.31)'!R32</f>
        <v>499758914</v>
      </c>
      <c r="H34" s="41"/>
      <c r="I34" s="43"/>
      <c r="J34" s="41"/>
      <c r="K34" s="42"/>
      <c r="L34" s="41"/>
      <c r="M34" s="41">
        <v>507127316</v>
      </c>
      <c r="N34" s="41"/>
      <c r="O34" s="43"/>
      <c r="P34" s="41"/>
      <c r="Q34" s="33"/>
    </row>
    <row r="35" spans="1:17" ht="5.25" customHeight="1">
      <c r="A35" s="19"/>
      <c r="B35" s="14"/>
      <c r="C35" s="8"/>
      <c r="D35" s="9"/>
      <c r="E35" s="10"/>
      <c r="F35" s="9"/>
      <c r="G35" s="41"/>
      <c r="H35" s="41"/>
      <c r="I35" s="43"/>
      <c r="J35" s="44"/>
      <c r="K35" s="42"/>
      <c r="L35" s="41"/>
      <c r="M35" s="41"/>
      <c r="N35" s="41"/>
      <c r="O35" s="43"/>
      <c r="P35" s="44"/>
      <c r="Q35" s="33"/>
    </row>
    <row r="36" spans="1:17" ht="22.5" customHeight="1">
      <c r="A36" s="19"/>
      <c r="B36" s="82" t="s">
        <v>27</v>
      </c>
      <c r="C36" s="489" t="s">
        <v>175</v>
      </c>
      <c r="D36" s="489"/>
      <c r="E36" s="53"/>
      <c r="F36" s="54"/>
      <c r="G36" s="48"/>
      <c r="H36" s="48"/>
      <c r="I36" s="50"/>
      <c r="J36" s="85">
        <f>+J9-J30</f>
        <v>3697319190</v>
      </c>
      <c r="K36" s="49"/>
      <c r="L36" s="48"/>
      <c r="M36" s="48"/>
      <c r="N36" s="48"/>
      <c r="O36" s="50"/>
      <c r="P36" s="85">
        <f>+P9-P30</f>
        <v>7511047988</v>
      </c>
      <c r="Q36" s="33"/>
    </row>
    <row r="37" spans="1:17" ht="5.25" customHeight="1">
      <c r="A37" s="19"/>
      <c r="B37" s="15"/>
      <c r="C37" s="6"/>
      <c r="D37" s="6"/>
      <c r="E37" s="10"/>
      <c r="F37" s="9"/>
      <c r="G37" s="41"/>
      <c r="H37" s="41"/>
      <c r="I37" s="43"/>
      <c r="J37" s="41"/>
      <c r="K37" s="42"/>
      <c r="L37" s="41"/>
      <c r="M37" s="41"/>
      <c r="N37" s="41"/>
      <c r="O37" s="43"/>
      <c r="P37" s="41"/>
      <c r="Q37" s="33"/>
    </row>
    <row r="38" spans="1:17" ht="19.5" customHeight="1">
      <c r="A38" s="19"/>
      <c r="B38" s="82" t="s">
        <v>18</v>
      </c>
      <c r="C38" s="489" t="s">
        <v>43</v>
      </c>
      <c r="D38" s="489"/>
      <c r="E38" s="46"/>
      <c r="F38" s="47"/>
      <c r="G38" s="48"/>
      <c r="H38" s="49"/>
      <c r="I38" s="48"/>
      <c r="J38" s="48">
        <f>SUM(G40:G64)</f>
        <v>5009053892</v>
      </c>
      <c r="K38" s="49"/>
      <c r="L38" s="48"/>
      <c r="M38" s="48"/>
      <c r="N38" s="49"/>
      <c r="O38" s="48"/>
      <c r="P38" s="48">
        <f>SUM(M40:M64)</f>
        <v>5143411871</v>
      </c>
      <c r="Q38" s="33"/>
    </row>
    <row r="39" spans="1:17" ht="5.25" customHeight="1">
      <c r="A39" s="19"/>
      <c r="B39" s="15"/>
      <c r="C39" s="6"/>
      <c r="D39" s="6"/>
      <c r="E39" s="7"/>
      <c r="F39" s="14"/>
      <c r="G39" s="41"/>
      <c r="H39" s="42"/>
      <c r="I39" s="41"/>
      <c r="J39" s="41"/>
      <c r="K39" s="42"/>
      <c r="L39" s="41"/>
      <c r="M39" s="41"/>
      <c r="N39" s="42"/>
      <c r="O39" s="41"/>
      <c r="P39" s="41"/>
      <c r="Q39" s="33"/>
    </row>
    <row r="40" spans="1:17" ht="19.5" customHeight="1">
      <c r="A40" s="19"/>
      <c r="B40" s="14"/>
      <c r="C40" s="35">
        <v>1</v>
      </c>
      <c r="D40" s="9" t="s">
        <v>81</v>
      </c>
      <c r="E40" s="10"/>
      <c r="F40" s="9"/>
      <c r="G40" s="41">
        <f>+'손익계산서-사이트별(2018.12.31)'!R38</f>
        <v>2621044636</v>
      </c>
      <c r="H40" s="42"/>
      <c r="I40" s="41"/>
      <c r="J40" s="41"/>
      <c r="K40" s="42"/>
      <c r="L40" s="41"/>
      <c r="M40" s="41">
        <v>2359308804</v>
      </c>
      <c r="N40" s="42"/>
      <c r="O40" s="41"/>
      <c r="P40" s="41"/>
      <c r="Q40" s="33"/>
    </row>
    <row r="41" spans="1:17" ht="19.5" customHeight="1">
      <c r="A41" s="19"/>
      <c r="B41" s="14"/>
      <c r="C41" s="35">
        <f aca="true" t="shared" si="1" ref="C41:C47">C40+1</f>
        <v>2</v>
      </c>
      <c r="D41" s="9" t="s">
        <v>65</v>
      </c>
      <c r="E41" s="10"/>
      <c r="F41" s="9"/>
      <c r="G41" s="41">
        <f>+'손익계산서-사이트별(2018.12.31)'!R39</f>
        <v>23000691</v>
      </c>
      <c r="H41" s="42"/>
      <c r="I41" s="41"/>
      <c r="J41" s="41"/>
      <c r="K41" s="42"/>
      <c r="L41" s="41"/>
      <c r="M41" s="41">
        <v>229785099</v>
      </c>
      <c r="N41" s="42"/>
      <c r="O41" s="41"/>
      <c r="P41" s="41"/>
      <c r="Q41" s="33"/>
    </row>
    <row r="42" spans="1:17" ht="19.5" customHeight="1">
      <c r="A42" s="19"/>
      <c r="B42" s="14"/>
      <c r="C42" s="35">
        <f t="shared" si="1"/>
        <v>3</v>
      </c>
      <c r="D42" s="9" t="s">
        <v>120</v>
      </c>
      <c r="E42" s="10"/>
      <c r="F42" s="9"/>
      <c r="G42" s="41">
        <f>+'손익계산서-사이트별(2018.12.31)'!R40</f>
        <v>28476140</v>
      </c>
      <c r="H42" s="42"/>
      <c r="I42" s="41"/>
      <c r="J42" s="41"/>
      <c r="K42" s="42"/>
      <c r="L42" s="41"/>
      <c r="M42" s="41">
        <v>18022300</v>
      </c>
      <c r="N42" s="42"/>
      <c r="O42" s="41"/>
      <c r="P42" s="41"/>
      <c r="Q42" s="33"/>
    </row>
    <row r="43" spans="1:17" ht="19.5" customHeight="1">
      <c r="A43" s="19"/>
      <c r="B43" s="14"/>
      <c r="C43" s="35">
        <f t="shared" si="1"/>
        <v>4</v>
      </c>
      <c r="D43" s="9" t="s">
        <v>20</v>
      </c>
      <c r="E43" s="10"/>
      <c r="F43" s="9"/>
      <c r="G43" s="41">
        <f>+'손익계산서-사이트별(2018.12.31)'!R41</f>
        <v>328861758</v>
      </c>
      <c r="H43" s="42"/>
      <c r="I43" s="41"/>
      <c r="J43" s="41"/>
      <c r="K43" s="42"/>
      <c r="L43" s="41"/>
      <c r="M43" s="41">
        <v>324776673</v>
      </c>
      <c r="N43" s="42"/>
      <c r="O43" s="41"/>
      <c r="P43" s="41"/>
      <c r="Q43" s="33"/>
    </row>
    <row r="44" spans="1:17" ht="19.5" customHeight="1">
      <c r="A44" s="19"/>
      <c r="B44" s="14"/>
      <c r="C44" s="35">
        <f t="shared" si="1"/>
        <v>5</v>
      </c>
      <c r="D44" s="9" t="s">
        <v>22</v>
      </c>
      <c r="E44" s="10"/>
      <c r="F44" s="9"/>
      <c r="G44" s="41">
        <f>+'손익계산서-사이트별(2018.12.31)'!R42</f>
        <v>63497268</v>
      </c>
      <c r="H44" s="42"/>
      <c r="I44" s="41"/>
      <c r="J44" s="41"/>
      <c r="K44" s="42"/>
      <c r="L44" s="41"/>
      <c r="M44" s="41">
        <v>35071762</v>
      </c>
      <c r="N44" s="42"/>
      <c r="O44" s="41"/>
      <c r="P44" s="41"/>
      <c r="Q44" s="33"/>
    </row>
    <row r="45" spans="1:17" ht="19.5" customHeight="1">
      <c r="A45" s="19"/>
      <c r="B45" s="14"/>
      <c r="C45" s="35">
        <f t="shared" si="1"/>
        <v>6</v>
      </c>
      <c r="D45" s="9" t="s">
        <v>82</v>
      </c>
      <c r="E45" s="10"/>
      <c r="F45" s="9"/>
      <c r="G45" s="41">
        <f>+'손익계산서-사이트별(2018.12.31)'!R43</f>
        <v>28110300</v>
      </c>
      <c r="H45" s="42"/>
      <c r="I45" s="41"/>
      <c r="J45" s="41"/>
      <c r="K45" s="42"/>
      <c r="L45" s="41"/>
      <c r="M45" s="41">
        <v>38099020</v>
      </c>
      <c r="N45" s="42"/>
      <c r="O45" s="41"/>
      <c r="P45" s="41"/>
      <c r="Q45" s="33"/>
    </row>
    <row r="46" spans="1:17" ht="19.5" customHeight="1">
      <c r="A46" s="19"/>
      <c r="B46" s="14"/>
      <c r="C46" s="35">
        <f t="shared" si="1"/>
        <v>7</v>
      </c>
      <c r="D46" s="9" t="s">
        <v>83</v>
      </c>
      <c r="E46" s="10"/>
      <c r="F46" s="9"/>
      <c r="G46" s="41">
        <f>+'손익계산서-사이트별(2018.12.31)'!R44</f>
        <v>23299770</v>
      </c>
      <c r="H46" s="42"/>
      <c r="I46" s="41"/>
      <c r="J46" s="41"/>
      <c r="K46" s="42"/>
      <c r="L46" s="41"/>
      <c r="M46" s="41">
        <v>62453540</v>
      </c>
      <c r="N46" s="42"/>
      <c r="O46" s="41"/>
      <c r="P46" s="41"/>
      <c r="Q46" s="33"/>
    </row>
    <row r="47" spans="1:17" ht="22.5" customHeight="1">
      <c r="A47" s="19"/>
      <c r="B47" s="14"/>
      <c r="C47" s="35">
        <f t="shared" si="1"/>
        <v>8</v>
      </c>
      <c r="D47" s="9" t="s">
        <v>52</v>
      </c>
      <c r="E47" s="10"/>
      <c r="F47" s="9"/>
      <c r="G47" s="41">
        <f>+'손익계산서-사이트별(2018.12.31)'!R45</f>
        <v>136821403</v>
      </c>
      <c r="H47" s="42"/>
      <c r="I47" s="41"/>
      <c r="J47" s="41"/>
      <c r="K47" s="42"/>
      <c r="L47" s="41"/>
      <c r="M47" s="41">
        <v>119161809</v>
      </c>
      <c r="N47" s="42"/>
      <c r="O47" s="41"/>
      <c r="P47" s="41"/>
      <c r="Q47" s="33"/>
    </row>
    <row r="48" spans="1:17" ht="19.5" customHeight="1">
      <c r="A48" s="19"/>
      <c r="B48" s="14"/>
      <c r="C48" s="35">
        <f>C47+1</f>
        <v>9</v>
      </c>
      <c r="D48" s="9" t="s">
        <v>155</v>
      </c>
      <c r="E48" s="10"/>
      <c r="F48" s="9"/>
      <c r="G48" s="41">
        <f>+'손익계산서-사이트별(2018.12.31)'!R46</f>
        <v>193870775</v>
      </c>
      <c r="H48" s="42"/>
      <c r="I48" s="41"/>
      <c r="J48" s="41"/>
      <c r="K48" s="42"/>
      <c r="L48" s="41"/>
      <c r="M48" s="41">
        <v>226730718</v>
      </c>
      <c r="N48" s="42"/>
      <c r="O48" s="41"/>
      <c r="P48" s="41"/>
      <c r="Q48" s="33"/>
    </row>
    <row r="49" spans="1:17" ht="19.5" customHeight="1">
      <c r="A49" s="19"/>
      <c r="B49" s="14"/>
      <c r="C49" s="35">
        <f aca="true" t="shared" si="2" ref="C49:C64">C48+1</f>
        <v>10</v>
      </c>
      <c r="D49" s="9" t="s">
        <v>21</v>
      </c>
      <c r="E49" s="10"/>
      <c r="F49" s="9"/>
      <c r="G49" s="41">
        <f>+'손익계산서-사이트별(2018.12.31)'!R47</f>
        <v>284989420</v>
      </c>
      <c r="H49" s="42"/>
      <c r="I49" s="41"/>
      <c r="J49" s="41"/>
      <c r="K49" s="42"/>
      <c r="L49" s="41"/>
      <c r="M49" s="41">
        <v>283887277</v>
      </c>
      <c r="N49" s="42"/>
      <c r="O49" s="41"/>
      <c r="P49" s="41"/>
      <c r="Q49" s="33"/>
    </row>
    <row r="50" spans="1:17" ht="19.5" customHeight="1" thickBot="1">
      <c r="A50" s="22"/>
      <c r="B50" s="23"/>
      <c r="C50" s="86">
        <f t="shared" si="2"/>
        <v>11</v>
      </c>
      <c r="D50" s="80" t="s">
        <v>70</v>
      </c>
      <c r="E50" s="25"/>
      <c r="F50" s="80"/>
      <c r="G50" s="71">
        <f>+'손익계산서-사이트별(2018.12.31)'!R48</f>
        <v>75581015</v>
      </c>
      <c r="H50" s="72"/>
      <c r="I50" s="71"/>
      <c r="J50" s="71"/>
      <c r="K50" s="72"/>
      <c r="L50" s="71"/>
      <c r="M50" s="71">
        <v>52762940</v>
      </c>
      <c r="N50" s="72"/>
      <c r="O50" s="71"/>
      <c r="P50" s="71"/>
      <c r="Q50" s="34"/>
    </row>
    <row r="51" spans="1:17" ht="19.5" customHeight="1">
      <c r="A51" s="19"/>
      <c r="B51" s="14"/>
      <c r="C51" s="35">
        <f t="shared" si="2"/>
        <v>12</v>
      </c>
      <c r="D51" s="9" t="s">
        <v>71</v>
      </c>
      <c r="E51" s="10"/>
      <c r="F51" s="9"/>
      <c r="G51" s="41">
        <f>+'손익계산서-사이트별(2018.12.31)'!R49</f>
        <v>27541101</v>
      </c>
      <c r="H51" s="42"/>
      <c r="I51" s="41"/>
      <c r="J51" s="41"/>
      <c r="K51" s="42"/>
      <c r="L51" s="41"/>
      <c r="M51" s="41">
        <v>2584580</v>
      </c>
      <c r="N51" s="42"/>
      <c r="O51" s="41"/>
      <c r="P51" s="41"/>
      <c r="Q51" s="33"/>
    </row>
    <row r="52" spans="1:17" ht="19.5" customHeight="1">
      <c r="A52" s="19"/>
      <c r="B52" s="14"/>
      <c r="C52" s="35">
        <f t="shared" si="2"/>
        <v>13</v>
      </c>
      <c r="D52" s="9" t="s">
        <v>53</v>
      </c>
      <c r="E52" s="10"/>
      <c r="F52" s="9"/>
      <c r="G52" s="41">
        <f>+'손익계산서-사이트별(2018.12.31)'!R50</f>
        <v>274053155</v>
      </c>
      <c r="H52" s="42"/>
      <c r="I52" s="41"/>
      <c r="J52" s="41"/>
      <c r="K52" s="42"/>
      <c r="L52" s="41"/>
      <c r="M52" s="41">
        <v>277889035</v>
      </c>
      <c r="N52" s="42"/>
      <c r="O52" s="41"/>
      <c r="P52" s="41"/>
      <c r="Q52" s="33"/>
    </row>
    <row r="53" spans="1:17" ht="19.5" customHeight="1">
      <c r="A53" s="19"/>
      <c r="B53" s="14"/>
      <c r="C53" s="35">
        <f t="shared" si="2"/>
        <v>14</v>
      </c>
      <c r="D53" s="9" t="s">
        <v>56</v>
      </c>
      <c r="E53" s="10"/>
      <c r="F53" s="9"/>
      <c r="G53" s="41">
        <f>+'손익계산서-사이트별(2018.12.31)'!R51</f>
        <v>345545917</v>
      </c>
      <c r="H53" s="42"/>
      <c r="I53" s="41"/>
      <c r="J53" s="41"/>
      <c r="K53" s="42"/>
      <c r="L53" s="41"/>
      <c r="M53" s="41">
        <v>623611804</v>
      </c>
      <c r="N53" s="42"/>
      <c r="O53" s="41"/>
      <c r="P53" s="41"/>
      <c r="Q53" s="33"/>
    </row>
    <row r="54" spans="1:17" ht="19.5" customHeight="1">
      <c r="A54" s="19"/>
      <c r="B54" s="14"/>
      <c r="C54" s="35">
        <f t="shared" si="2"/>
        <v>15</v>
      </c>
      <c r="D54" s="9" t="s">
        <v>24</v>
      </c>
      <c r="E54" s="10"/>
      <c r="F54" s="9"/>
      <c r="G54" s="41">
        <f>+'손익계산서-사이트별(2018.12.31)'!R52</f>
        <v>26083500</v>
      </c>
      <c r="H54" s="42"/>
      <c r="I54" s="41"/>
      <c r="J54" s="41"/>
      <c r="K54" s="42"/>
      <c r="L54" s="41"/>
      <c r="M54" s="41">
        <v>8116020</v>
      </c>
      <c r="N54" s="42"/>
      <c r="O54" s="41"/>
      <c r="P54" s="41"/>
      <c r="Q54" s="33"/>
    </row>
    <row r="55" spans="1:17" ht="19.5" customHeight="1">
      <c r="A55" s="19"/>
      <c r="B55" s="14"/>
      <c r="C55" s="35">
        <f t="shared" si="2"/>
        <v>16</v>
      </c>
      <c r="D55" s="9" t="s">
        <v>54</v>
      </c>
      <c r="E55" s="10"/>
      <c r="F55" s="9"/>
      <c r="G55" s="41">
        <f>+'손익계산서-사이트별(2018.12.31)'!R53</f>
        <v>49484200</v>
      </c>
      <c r="H55" s="42"/>
      <c r="I55" s="41"/>
      <c r="J55" s="41"/>
      <c r="K55" s="42"/>
      <c r="L55" s="41"/>
      <c r="M55" s="41">
        <v>53537000</v>
      </c>
      <c r="N55" s="42"/>
      <c r="O55" s="41"/>
      <c r="P55" s="41"/>
      <c r="Q55" s="33"/>
    </row>
    <row r="56" spans="1:17" ht="19.5" customHeight="1">
      <c r="A56" s="19"/>
      <c r="B56" s="14"/>
      <c r="C56" s="35">
        <f t="shared" si="2"/>
        <v>17</v>
      </c>
      <c r="D56" s="9" t="s">
        <v>100</v>
      </c>
      <c r="E56" s="10"/>
      <c r="F56" s="9"/>
      <c r="G56" s="41">
        <f>+'손익계산서-사이트별(2018.12.31)'!R54</f>
        <v>2706200</v>
      </c>
      <c r="H56" s="42"/>
      <c r="I56" s="41"/>
      <c r="J56" s="41"/>
      <c r="K56" s="42"/>
      <c r="L56" s="41"/>
      <c r="M56" s="41"/>
      <c r="N56" s="42"/>
      <c r="O56" s="41"/>
      <c r="P56" s="41"/>
      <c r="Q56" s="33"/>
    </row>
    <row r="57" spans="1:17" ht="19.5" customHeight="1">
      <c r="A57" s="19"/>
      <c r="B57" s="14"/>
      <c r="C57" s="35">
        <f t="shared" si="2"/>
        <v>18</v>
      </c>
      <c r="D57" s="9" t="s">
        <v>26</v>
      </c>
      <c r="E57" s="10"/>
      <c r="F57" s="9"/>
      <c r="G57" s="41">
        <f>+'손익계산서-사이트별(2018.12.31)'!R55</f>
        <v>50797310</v>
      </c>
      <c r="H57" s="42"/>
      <c r="I57" s="41"/>
      <c r="J57" s="41"/>
      <c r="K57" s="42"/>
      <c r="L57" s="41"/>
      <c r="M57" s="41">
        <v>63701670</v>
      </c>
      <c r="N57" s="42"/>
      <c r="O57" s="41"/>
      <c r="P57" s="41"/>
      <c r="Q57" s="33"/>
    </row>
    <row r="58" spans="1:17" ht="19.5" customHeight="1">
      <c r="A58" s="19"/>
      <c r="B58" s="14"/>
      <c r="C58" s="35">
        <f t="shared" si="2"/>
        <v>19</v>
      </c>
      <c r="D58" s="9" t="s">
        <v>84</v>
      </c>
      <c r="E58" s="10"/>
      <c r="F58" s="9"/>
      <c r="G58" s="41">
        <f>+'손익계산서-사이트별(2018.12.31)'!R56</f>
        <v>128239097</v>
      </c>
      <c r="H58" s="42"/>
      <c r="I58" s="41"/>
      <c r="J58" s="41"/>
      <c r="K58" s="42"/>
      <c r="L58" s="41"/>
      <c r="M58" s="41">
        <v>78447110</v>
      </c>
      <c r="N58" s="42"/>
      <c r="O58" s="41"/>
      <c r="P58" s="41"/>
      <c r="Q58" s="33"/>
    </row>
    <row r="59" spans="1:17" ht="19.5" customHeight="1">
      <c r="A59" s="19"/>
      <c r="B59" s="14"/>
      <c r="C59" s="35">
        <f t="shared" si="2"/>
        <v>20</v>
      </c>
      <c r="D59" s="9" t="s">
        <v>55</v>
      </c>
      <c r="E59" s="10"/>
      <c r="F59" s="9"/>
      <c r="G59" s="41">
        <f>+'손익계산서-사이트별(2018.12.31)'!R57</f>
        <v>86007400</v>
      </c>
      <c r="H59" s="42"/>
      <c r="I59" s="41"/>
      <c r="J59" s="41"/>
      <c r="K59" s="42"/>
      <c r="L59" s="41"/>
      <c r="M59" s="41">
        <v>86100000</v>
      </c>
      <c r="N59" s="42"/>
      <c r="O59" s="41"/>
      <c r="P59" s="41"/>
      <c r="Q59" s="33"/>
    </row>
    <row r="60" spans="1:17" ht="19.5" customHeight="1">
      <c r="A60" s="19"/>
      <c r="B60" s="14"/>
      <c r="C60" s="35">
        <f t="shared" si="2"/>
        <v>21</v>
      </c>
      <c r="D60" s="9" t="s">
        <v>23</v>
      </c>
      <c r="E60" s="10"/>
      <c r="F60" s="9"/>
      <c r="G60" s="41">
        <f>+'손익계산서-사이트별(2018.12.31)'!R58</f>
        <v>137093964</v>
      </c>
      <c r="H60" s="42"/>
      <c r="I60" s="41"/>
      <c r="J60" s="41"/>
      <c r="K60" s="42"/>
      <c r="L60" s="41"/>
      <c r="M60" s="41">
        <v>119685997</v>
      </c>
      <c r="N60" s="42"/>
      <c r="O60" s="41"/>
      <c r="P60" s="41"/>
      <c r="Q60" s="33"/>
    </row>
    <row r="61" spans="1:17" ht="19.5" customHeight="1">
      <c r="A61" s="19"/>
      <c r="B61" s="14"/>
      <c r="C61" s="35">
        <f t="shared" si="2"/>
        <v>22</v>
      </c>
      <c r="D61" s="9" t="s">
        <v>438</v>
      </c>
      <c r="E61" s="10"/>
      <c r="F61" s="9"/>
      <c r="G61" s="41">
        <f>+'손익계산서-사이트별(2018.12.31)'!R59</f>
        <v>34150000</v>
      </c>
      <c r="H61" s="42"/>
      <c r="I61" s="41"/>
      <c r="J61" s="41"/>
      <c r="K61" s="42"/>
      <c r="L61" s="41"/>
      <c r="M61" s="41">
        <v>32550000</v>
      </c>
      <c r="N61" s="42"/>
      <c r="O61" s="41"/>
      <c r="P61" s="41"/>
      <c r="Q61" s="33"/>
    </row>
    <row r="62" spans="1:17" ht="19.5" customHeight="1">
      <c r="A62" s="19"/>
      <c r="B62" s="14"/>
      <c r="C62" s="35">
        <f t="shared" si="2"/>
        <v>23</v>
      </c>
      <c r="D62" s="9" t="s">
        <v>94</v>
      </c>
      <c r="E62" s="10"/>
      <c r="F62" s="9"/>
      <c r="G62" s="41">
        <f>+'손익계산서-사이트별(2018.12.31)'!R60</f>
        <v>22888448</v>
      </c>
      <c r="H62" s="42"/>
      <c r="I62" s="41"/>
      <c r="J62" s="41"/>
      <c r="K62" s="42"/>
      <c r="L62" s="41"/>
      <c r="M62" s="41">
        <v>18709540</v>
      </c>
      <c r="N62" s="42"/>
      <c r="O62" s="41"/>
      <c r="P62" s="41"/>
      <c r="Q62" s="33"/>
    </row>
    <row r="63" spans="1:17" ht="19.5" customHeight="1">
      <c r="A63" s="19"/>
      <c r="B63" s="14"/>
      <c r="C63" s="35">
        <f t="shared" si="2"/>
        <v>24</v>
      </c>
      <c r="D63" s="9" t="s">
        <v>251</v>
      </c>
      <c r="E63" s="10"/>
      <c r="F63" s="9"/>
      <c r="G63" s="41">
        <f>+'손익계산서-사이트별(2018.12.31)'!R61</f>
        <v>7243904</v>
      </c>
      <c r="H63" s="42"/>
      <c r="I63" s="41"/>
      <c r="J63" s="41"/>
      <c r="K63" s="42"/>
      <c r="L63" s="41"/>
      <c r="M63" s="41">
        <v>28419173</v>
      </c>
      <c r="N63" s="42"/>
      <c r="O63" s="41"/>
      <c r="P63" s="41"/>
      <c r="Q63" s="33"/>
    </row>
    <row r="64" spans="1:17" ht="19.5" customHeight="1">
      <c r="A64" s="19"/>
      <c r="B64" s="14"/>
      <c r="C64" s="35">
        <f t="shared" si="2"/>
        <v>25</v>
      </c>
      <c r="D64" s="9" t="s">
        <v>252</v>
      </c>
      <c r="E64" s="10"/>
      <c r="F64" s="9"/>
      <c r="G64" s="41">
        <f>+'손익계산서-사이트별(2018.12.31)'!R62</f>
        <v>9666520</v>
      </c>
      <c r="H64" s="42"/>
      <c r="I64" s="41"/>
      <c r="J64" s="41"/>
      <c r="K64" s="42"/>
      <c r="L64" s="41"/>
      <c r="M64" s="41">
        <v>0</v>
      </c>
      <c r="N64" s="42"/>
      <c r="O64" s="41"/>
      <c r="P64" s="41"/>
      <c r="Q64" s="33"/>
    </row>
    <row r="65" spans="1:17" ht="5.25" customHeight="1">
      <c r="A65" s="19"/>
      <c r="B65" s="14"/>
      <c r="C65" s="8"/>
      <c r="D65" s="9"/>
      <c r="E65" s="10"/>
      <c r="F65" s="9"/>
      <c r="G65" s="41"/>
      <c r="H65" s="42"/>
      <c r="I65" s="41"/>
      <c r="J65" s="44"/>
      <c r="K65" s="42"/>
      <c r="L65" s="41"/>
      <c r="M65" s="41"/>
      <c r="N65" s="42"/>
      <c r="O65" s="41"/>
      <c r="P65" s="44"/>
      <c r="Q65" s="33"/>
    </row>
    <row r="66" spans="1:17" ht="19.5" customHeight="1">
      <c r="A66" s="19"/>
      <c r="B66" s="82" t="s">
        <v>25</v>
      </c>
      <c r="C66" s="489" t="s">
        <v>176</v>
      </c>
      <c r="D66" s="489"/>
      <c r="E66" s="53"/>
      <c r="F66" s="54"/>
      <c r="G66" s="48"/>
      <c r="H66" s="49"/>
      <c r="I66" s="48"/>
      <c r="J66" s="85">
        <f>+J36-J38</f>
        <v>-1311734702</v>
      </c>
      <c r="K66" s="49"/>
      <c r="L66" s="48"/>
      <c r="M66" s="48"/>
      <c r="N66" s="49"/>
      <c r="O66" s="48"/>
      <c r="P66" s="85">
        <f>+P36-P38</f>
        <v>2367636117</v>
      </c>
      <c r="Q66" s="33"/>
    </row>
    <row r="67" spans="1:17" ht="5.25" customHeight="1">
      <c r="A67" s="19"/>
      <c r="B67" s="15"/>
      <c r="C67" s="6"/>
      <c r="D67" s="6"/>
      <c r="E67" s="10"/>
      <c r="F67" s="9"/>
      <c r="G67" s="41"/>
      <c r="H67" s="42"/>
      <c r="I67" s="41"/>
      <c r="J67" s="41"/>
      <c r="K67" s="42"/>
      <c r="L67" s="41"/>
      <c r="M67" s="41"/>
      <c r="N67" s="42"/>
      <c r="O67" s="41"/>
      <c r="P67" s="41"/>
      <c r="Q67" s="33"/>
    </row>
    <row r="68" spans="1:17" ht="21.75" customHeight="1">
      <c r="A68" s="19"/>
      <c r="B68" s="82" t="s">
        <v>28</v>
      </c>
      <c r="C68" s="489" t="s">
        <v>85</v>
      </c>
      <c r="D68" s="489"/>
      <c r="E68" s="53"/>
      <c r="F68" s="54"/>
      <c r="G68" s="48"/>
      <c r="H68" s="49"/>
      <c r="I68" s="48"/>
      <c r="J68" s="48">
        <f>SUM(G70:G72)</f>
        <v>488010139</v>
      </c>
      <c r="K68" s="49"/>
      <c r="L68" s="48"/>
      <c r="M68" s="48"/>
      <c r="N68" s="49"/>
      <c r="O68" s="48"/>
      <c r="P68" s="48">
        <f>SUM(M70:M72)</f>
        <v>350491500</v>
      </c>
      <c r="Q68" s="33"/>
    </row>
    <row r="69" spans="1:17" ht="5.25" customHeight="1">
      <c r="A69" s="19"/>
      <c r="B69" s="15"/>
      <c r="C69" s="6"/>
      <c r="D69" s="6"/>
      <c r="E69" s="10"/>
      <c r="F69" s="9"/>
      <c r="G69" s="41"/>
      <c r="H69" s="42"/>
      <c r="I69" s="41"/>
      <c r="J69" s="41"/>
      <c r="K69" s="42"/>
      <c r="L69" s="41"/>
      <c r="M69" s="41"/>
      <c r="N69" s="42"/>
      <c r="O69" s="41"/>
      <c r="P69" s="41"/>
      <c r="Q69" s="33"/>
    </row>
    <row r="70" spans="1:17" ht="19.5" customHeight="1">
      <c r="A70" s="19"/>
      <c r="B70" s="15"/>
      <c r="C70" s="35">
        <v>1</v>
      </c>
      <c r="D70" s="6" t="s">
        <v>60</v>
      </c>
      <c r="E70" s="10"/>
      <c r="F70" s="9"/>
      <c r="G70" s="129">
        <f>+'손익계산서-사이트별(2018.12.31)'!R68</f>
        <v>425209174</v>
      </c>
      <c r="H70" s="42"/>
      <c r="I70" s="41"/>
      <c r="J70" s="41"/>
      <c r="K70" s="42"/>
      <c r="L70" s="41"/>
      <c r="M70" s="129">
        <v>298012405</v>
      </c>
      <c r="N70" s="42"/>
      <c r="O70" s="41"/>
      <c r="P70" s="41"/>
      <c r="Q70" s="33"/>
    </row>
    <row r="71" spans="1:17" ht="19.5" customHeight="1">
      <c r="A71" s="19"/>
      <c r="B71" s="2"/>
      <c r="C71" s="35">
        <v>2</v>
      </c>
      <c r="D71" s="6" t="s">
        <v>86</v>
      </c>
      <c r="E71" s="10"/>
      <c r="F71" s="9"/>
      <c r="G71" s="129">
        <f>+'손익계산서-사이트별(2018.12.31)'!R72</f>
        <v>62800965</v>
      </c>
      <c r="H71" s="70"/>
      <c r="I71" s="69"/>
      <c r="J71" s="41"/>
      <c r="K71" s="42"/>
      <c r="L71" s="41"/>
      <c r="M71" s="129">
        <v>52479095</v>
      </c>
      <c r="N71" s="70"/>
      <c r="O71" s="69"/>
      <c r="P71" s="41"/>
      <c r="Q71" s="33"/>
    </row>
    <row r="72" spans="1:17" ht="19.5" customHeight="1">
      <c r="A72" s="19"/>
      <c r="B72" s="2"/>
      <c r="C72" s="35">
        <v>3</v>
      </c>
      <c r="D72" s="6" t="s">
        <v>194</v>
      </c>
      <c r="E72" s="10"/>
      <c r="F72" s="9"/>
      <c r="G72" s="129">
        <f>+'손익계산서-사이트별(2018.12.31)'!R73</f>
        <v>0</v>
      </c>
      <c r="H72" s="70"/>
      <c r="I72" s="69"/>
      <c r="J72" s="41"/>
      <c r="K72" s="42"/>
      <c r="L72" s="41"/>
      <c r="M72" s="129">
        <v>0</v>
      </c>
      <c r="N72" s="70"/>
      <c r="O72" s="69"/>
      <c r="P72" s="41"/>
      <c r="Q72" s="33"/>
    </row>
    <row r="73" spans="1:17" ht="5.25" customHeight="1">
      <c r="A73" s="19"/>
      <c r="B73" s="15"/>
      <c r="C73" s="8"/>
      <c r="D73" s="6"/>
      <c r="E73" s="10"/>
      <c r="F73" s="9"/>
      <c r="G73" s="69"/>
      <c r="H73" s="70"/>
      <c r="I73" s="69"/>
      <c r="J73" s="41"/>
      <c r="K73" s="42"/>
      <c r="L73" s="41"/>
      <c r="M73" s="69"/>
      <c r="N73" s="70"/>
      <c r="O73" s="69"/>
      <c r="P73" s="41"/>
      <c r="Q73" s="33"/>
    </row>
    <row r="74" spans="1:17" ht="21.75" customHeight="1">
      <c r="A74" s="19"/>
      <c r="B74" s="82" t="s">
        <v>29</v>
      </c>
      <c r="C74" s="489" t="s">
        <v>72</v>
      </c>
      <c r="D74" s="489"/>
      <c r="E74" s="53"/>
      <c r="F74" s="54"/>
      <c r="G74" s="83"/>
      <c r="H74" s="84"/>
      <c r="I74" s="83"/>
      <c r="J74" s="48">
        <f>SUM(G76:G79)</f>
        <v>219729844</v>
      </c>
      <c r="K74" s="49"/>
      <c r="L74" s="48"/>
      <c r="M74" s="83"/>
      <c r="N74" s="84"/>
      <c r="O74" s="83"/>
      <c r="P74" s="48">
        <f>SUM(M76:M79)</f>
        <v>197533248</v>
      </c>
      <c r="Q74" s="33"/>
    </row>
    <row r="75" spans="1:17" ht="5.25" customHeight="1">
      <c r="A75" s="19"/>
      <c r="B75" s="15"/>
      <c r="C75" s="6"/>
      <c r="D75" s="6"/>
      <c r="E75" s="10"/>
      <c r="F75" s="9"/>
      <c r="G75" s="69"/>
      <c r="H75" s="70"/>
      <c r="I75" s="69"/>
      <c r="J75" s="41"/>
      <c r="K75" s="42"/>
      <c r="L75" s="41"/>
      <c r="M75" s="69"/>
      <c r="N75" s="70"/>
      <c r="O75" s="69"/>
      <c r="P75" s="41"/>
      <c r="Q75" s="33"/>
    </row>
    <row r="76" spans="1:17" ht="19.5" customHeight="1">
      <c r="A76" s="19"/>
      <c r="B76" s="15"/>
      <c r="C76" s="35">
        <v>1</v>
      </c>
      <c r="D76" s="6" t="s">
        <v>185</v>
      </c>
      <c r="E76" s="10"/>
      <c r="F76" s="9"/>
      <c r="G76" s="69">
        <f>+'손익계산서-사이트별(2018.12.31)'!R77</f>
        <v>0</v>
      </c>
      <c r="H76" s="70"/>
      <c r="I76" s="69"/>
      <c r="J76" s="41"/>
      <c r="K76" s="42"/>
      <c r="L76" s="41"/>
      <c r="M76" s="69">
        <v>0</v>
      </c>
      <c r="N76" s="70"/>
      <c r="O76" s="69"/>
      <c r="P76" s="41"/>
      <c r="Q76" s="33"/>
    </row>
    <row r="77" spans="1:17" ht="19.5" customHeight="1">
      <c r="A77" s="19"/>
      <c r="B77" s="15"/>
      <c r="C77" s="35">
        <v>2</v>
      </c>
      <c r="D77" s="6" t="s">
        <v>112</v>
      </c>
      <c r="E77" s="10"/>
      <c r="F77" s="9"/>
      <c r="G77" s="69">
        <f>+'손익계산서-사이트별(2018.12.31)'!R78</f>
        <v>218499000</v>
      </c>
      <c r="H77" s="70"/>
      <c r="I77" s="69"/>
      <c r="J77" s="41"/>
      <c r="K77" s="42"/>
      <c r="L77" s="41"/>
      <c r="M77" s="69">
        <v>197423920</v>
      </c>
      <c r="N77" s="70"/>
      <c r="O77" s="69"/>
      <c r="P77" s="41"/>
      <c r="Q77" s="33"/>
    </row>
    <row r="78" spans="1:17" ht="19.5" customHeight="1">
      <c r="A78" s="19"/>
      <c r="B78" s="15"/>
      <c r="C78" s="35">
        <v>3</v>
      </c>
      <c r="D78" s="6" t="s">
        <v>264</v>
      </c>
      <c r="E78" s="10"/>
      <c r="F78" s="9"/>
      <c r="G78" s="69">
        <f>+'손익계산서-사이트별(2018.12.31)'!R79</f>
        <v>622562</v>
      </c>
      <c r="H78" s="70"/>
      <c r="I78" s="69"/>
      <c r="J78" s="41"/>
      <c r="K78" s="42"/>
      <c r="L78" s="41"/>
      <c r="M78" s="69">
        <v>109318</v>
      </c>
      <c r="N78" s="70"/>
      <c r="O78" s="69"/>
      <c r="P78" s="41"/>
      <c r="Q78" s="33"/>
    </row>
    <row r="79" spans="1:17" ht="19.5" customHeight="1">
      <c r="A79" s="19"/>
      <c r="B79" s="2"/>
      <c r="C79" s="35">
        <v>4</v>
      </c>
      <c r="D79" s="6" t="s">
        <v>87</v>
      </c>
      <c r="E79" s="10"/>
      <c r="F79" s="9"/>
      <c r="G79" s="69">
        <f>+'손익계산서-사이트별(2018.12.31)'!R80</f>
        <v>608282</v>
      </c>
      <c r="H79" s="70"/>
      <c r="I79" s="69"/>
      <c r="J79" s="41"/>
      <c r="K79" s="42"/>
      <c r="L79" s="41"/>
      <c r="M79" s="69">
        <v>10</v>
      </c>
      <c r="N79" s="70"/>
      <c r="O79" s="69"/>
      <c r="P79" s="41"/>
      <c r="Q79" s="33"/>
    </row>
    <row r="80" spans="1:17" ht="5.25" customHeight="1">
      <c r="A80" s="19"/>
      <c r="B80" s="2"/>
      <c r="C80" s="35"/>
      <c r="D80" s="6"/>
      <c r="E80" s="10"/>
      <c r="F80" s="9"/>
      <c r="G80" s="41"/>
      <c r="H80" s="42"/>
      <c r="I80" s="41"/>
      <c r="J80" s="41"/>
      <c r="K80" s="42"/>
      <c r="L80" s="41"/>
      <c r="M80" s="41"/>
      <c r="N80" s="42"/>
      <c r="O80" s="41"/>
      <c r="P80" s="41"/>
      <c r="Q80" s="33"/>
    </row>
    <row r="81" spans="1:17" ht="21.75" customHeight="1">
      <c r="A81" s="19"/>
      <c r="B81" s="82" t="s">
        <v>50</v>
      </c>
      <c r="C81" s="489" t="s">
        <v>177</v>
      </c>
      <c r="D81" s="489"/>
      <c r="E81" s="53"/>
      <c r="F81" s="54"/>
      <c r="G81" s="48"/>
      <c r="H81" s="49"/>
      <c r="I81" s="48"/>
      <c r="J81" s="85">
        <f>+J66+J68-J74</f>
        <v>-1043454407</v>
      </c>
      <c r="K81" s="49"/>
      <c r="L81" s="48"/>
      <c r="M81" s="48"/>
      <c r="N81" s="49"/>
      <c r="O81" s="48"/>
      <c r="P81" s="85">
        <f>+P66+P68-P74</f>
        <v>2520594369</v>
      </c>
      <c r="Q81" s="33"/>
    </row>
    <row r="82" spans="1:17" ht="5.25" customHeight="1">
      <c r="A82" s="19"/>
      <c r="B82" s="82"/>
      <c r="C82" s="57"/>
      <c r="D82" s="57"/>
      <c r="E82" s="53"/>
      <c r="F82" s="54"/>
      <c r="G82" s="48"/>
      <c r="H82" s="49"/>
      <c r="I82" s="48"/>
      <c r="J82" s="48"/>
      <c r="K82" s="49"/>
      <c r="L82" s="48"/>
      <c r="M82" s="48"/>
      <c r="N82" s="49"/>
      <c r="O82" s="48"/>
      <c r="P82" s="48"/>
      <c r="Q82" s="33"/>
    </row>
    <row r="83" spans="1:17" ht="19.5" customHeight="1">
      <c r="A83" s="19"/>
      <c r="B83" s="82" t="s">
        <v>68</v>
      </c>
      <c r="C83" s="502" t="s">
        <v>66</v>
      </c>
      <c r="D83" s="502"/>
      <c r="E83" s="10"/>
      <c r="F83" s="9"/>
      <c r="G83" s="41"/>
      <c r="H83" s="42"/>
      <c r="I83" s="41"/>
      <c r="J83" s="56"/>
      <c r="K83" s="42"/>
      <c r="L83" s="41"/>
      <c r="M83" s="41"/>
      <c r="N83" s="42"/>
      <c r="O83" s="41"/>
      <c r="P83" s="56"/>
      <c r="Q83" s="33"/>
    </row>
    <row r="84" spans="1:17" ht="5.25" customHeight="1">
      <c r="A84" s="19"/>
      <c r="B84" s="15"/>
      <c r="C84" s="6"/>
      <c r="D84" s="6"/>
      <c r="E84" s="10"/>
      <c r="F84" s="9"/>
      <c r="G84" s="41"/>
      <c r="H84" s="42"/>
      <c r="I84" s="41"/>
      <c r="J84" s="56"/>
      <c r="K84" s="42"/>
      <c r="L84" s="41"/>
      <c r="M84" s="41"/>
      <c r="N84" s="42"/>
      <c r="O84" s="41"/>
      <c r="P84" s="56"/>
      <c r="Q84" s="33"/>
    </row>
    <row r="85" spans="1:17" ht="19.5" customHeight="1">
      <c r="A85" s="19"/>
      <c r="B85" s="82" t="s">
        <v>89</v>
      </c>
      <c r="C85" s="502" t="s">
        <v>67</v>
      </c>
      <c r="D85" s="502"/>
      <c r="E85" s="10"/>
      <c r="F85" s="9"/>
      <c r="G85" s="41"/>
      <c r="H85" s="42"/>
      <c r="I85" s="41"/>
      <c r="J85" s="56"/>
      <c r="K85" s="42"/>
      <c r="L85" s="41"/>
      <c r="M85" s="41"/>
      <c r="N85" s="42"/>
      <c r="O85" s="41"/>
      <c r="P85" s="56"/>
      <c r="Q85" s="33"/>
    </row>
    <row r="86" spans="1:17" ht="5.25" customHeight="1">
      <c r="A86" s="19"/>
      <c r="B86" s="15"/>
      <c r="C86" s="6"/>
      <c r="D86" s="6"/>
      <c r="E86" s="10"/>
      <c r="F86" s="9"/>
      <c r="G86" s="41"/>
      <c r="H86" s="42"/>
      <c r="I86" s="41"/>
      <c r="J86" s="41"/>
      <c r="K86" s="42"/>
      <c r="L86" s="41"/>
      <c r="M86" s="41"/>
      <c r="N86" s="42"/>
      <c r="O86" s="41"/>
      <c r="P86" s="41"/>
      <c r="Q86" s="33"/>
    </row>
    <row r="87" spans="1:17" ht="21.75" customHeight="1">
      <c r="A87" s="19"/>
      <c r="B87" s="32" t="str">
        <f>ROMAN(11,0)&amp;" ."</f>
        <v>XI .</v>
      </c>
      <c r="C87" s="502" t="s">
        <v>69</v>
      </c>
      <c r="D87" s="502"/>
      <c r="E87" s="10"/>
      <c r="F87" s="9"/>
      <c r="G87" s="41"/>
      <c r="H87" s="42"/>
      <c r="I87" s="41"/>
      <c r="J87" s="41">
        <f>+J81</f>
        <v>-1043454407</v>
      </c>
      <c r="K87" s="42"/>
      <c r="L87" s="41"/>
      <c r="M87" s="41"/>
      <c r="N87" s="42"/>
      <c r="O87" s="41"/>
      <c r="P87" s="41">
        <f>+P81</f>
        <v>2520594369</v>
      </c>
      <c r="Q87" s="33"/>
    </row>
    <row r="88" spans="1:17" ht="5.25" customHeight="1">
      <c r="A88" s="19"/>
      <c r="B88" s="32"/>
      <c r="C88" s="6"/>
      <c r="D88" s="6"/>
      <c r="E88" s="10"/>
      <c r="F88" s="9"/>
      <c r="G88" s="41"/>
      <c r="H88" s="42"/>
      <c r="I88" s="41"/>
      <c r="J88" s="41"/>
      <c r="K88" s="42"/>
      <c r="L88" s="41"/>
      <c r="M88" s="41"/>
      <c r="N88" s="42"/>
      <c r="O88" s="41"/>
      <c r="P88" s="41"/>
      <c r="Q88" s="33"/>
    </row>
    <row r="89" spans="1:17" ht="21.75" customHeight="1">
      <c r="A89" s="19"/>
      <c r="B89" s="32" t="str">
        <f>ROMAN(12,0)&amp;" ."</f>
        <v>XII .</v>
      </c>
      <c r="C89" s="502" t="s">
        <v>44</v>
      </c>
      <c r="D89" s="502"/>
      <c r="E89" s="10"/>
      <c r="F89" s="9"/>
      <c r="G89" s="41"/>
      <c r="H89" s="42"/>
      <c r="I89" s="41"/>
      <c r="J89" s="56"/>
      <c r="K89" s="42"/>
      <c r="L89" s="41"/>
      <c r="M89" s="41"/>
      <c r="N89" s="42"/>
      <c r="O89" s="41"/>
      <c r="P89" s="56"/>
      <c r="Q89" s="33"/>
    </row>
    <row r="90" spans="1:17" ht="5.25" customHeight="1">
      <c r="A90" s="19"/>
      <c r="B90" s="32"/>
      <c r="C90" s="12"/>
      <c r="D90" s="9"/>
      <c r="E90" s="10"/>
      <c r="F90" s="9"/>
      <c r="G90" s="41"/>
      <c r="H90" s="42"/>
      <c r="I90" s="41"/>
      <c r="J90" s="41"/>
      <c r="K90" s="42"/>
      <c r="L90" s="41"/>
      <c r="M90" s="41"/>
      <c r="N90" s="42"/>
      <c r="O90" s="41"/>
      <c r="P90" s="41"/>
      <c r="Q90" s="33"/>
    </row>
    <row r="91" spans="1:17" ht="21.75" customHeight="1" thickBot="1">
      <c r="A91" s="19"/>
      <c r="B91" s="32" t="str">
        <f>ROMAN(13,0)&amp;" ."</f>
        <v>XIII .</v>
      </c>
      <c r="C91" s="489" t="s">
        <v>74</v>
      </c>
      <c r="D91" s="489"/>
      <c r="E91" s="53"/>
      <c r="F91" s="54"/>
      <c r="G91" s="48"/>
      <c r="H91" s="49"/>
      <c r="I91" s="48"/>
      <c r="J91" s="55">
        <f>+J87</f>
        <v>-1043454407</v>
      </c>
      <c r="K91" s="49"/>
      <c r="L91" s="48"/>
      <c r="M91" s="48"/>
      <c r="N91" s="49"/>
      <c r="O91" s="48"/>
      <c r="P91" s="55">
        <f>+P87</f>
        <v>2520594369</v>
      </c>
      <c r="Q91" s="33"/>
    </row>
    <row r="92" spans="1:17" ht="5.25" customHeight="1" thickBot="1" thickTop="1">
      <c r="A92" s="22"/>
      <c r="B92" s="23"/>
      <c r="C92" s="24"/>
      <c r="D92" s="26"/>
      <c r="E92" s="27"/>
      <c r="F92" s="26"/>
      <c r="G92" s="102"/>
      <c r="H92" s="103"/>
      <c r="I92" s="102"/>
      <c r="J92" s="104"/>
      <c r="K92" s="103"/>
      <c r="L92" s="102"/>
      <c r="M92" s="102"/>
      <c r="N92" s="103"/>
      <c r="O92" s="102"/>
      <c r="P92" s="104"/>
      <c r="Q92" s="34"/>
    </row>
    <row r="93" spans="1:17" ht="19.5" customHeight="1">
      <c r="A93" s="501"/>
      <c r="B93" s="501"/>
      <c r="C93" s="501"/>
      <c r="D93" s="501"/>
      <c r="E93" s="501"/>
      <c r="F93" s="501"/>
      <c r="G93" s="501"/>
      <c r="H93" s="501"/>
      <c r="I93" s="501"/>
      <c r="J93" s="501"/>
      <c r="K93" s="501"/>
      <c r="L93" s="501"/>
      <c r="M93" s="501"/>
      <c r="N93" s="501"/>
      <c r="O93" s="501"/>
      <c r="P93" s="501"/>
      <c r="Q93" s="162"/>
    </row>
    <row r="94" spans="7:16" ht="19.5" customHeight="1">
      <c r="G94" s="1"/>
      <c r="H94" s="178"/>
      <c r="I94" s="1"/>
      <c r="K94" s="1"/>
      <c r="L94" s="1"/>
      <c r="M94" s="1"/>
      <c r="N94" s="1"/>
      <c r="O94" s="1"/>
      <c r="P94" s="1"/>
    </row>
    <row r="95" ht="19.5" customHeight="1">
      <c r="H95" s="177"/>
    </row>
    <row r="99" ht="6.75" customHeight="1"/>
  </sheetData>
  <sheetProtection/>
  <mergeCells count="22">
    <mergeCell ref="C91:D91"/>
    <mergeCell ref="A93:P93"/>
    <mergeCell ref="C74:D74"/>
    <mergeCell ref="C81:D81"/>
    <mergeCell ref="C83:D83"/>
    <mergeCell ref="C85:D85"/>
    <mergeCell ref="C87:D87"/>
    <mergeCell ref="C89:D89"/>
    <mergeCell ref="C9:D9"/>
    <mergeCell ref="C30:D30"/>
    <mergeCell ref="C36:D36"/>
    <mergeCell ref="C38:D38"/>
    <mergeCell ref="C66:D66"/>
    <mergeCell ref="C68:D68"/>
    <mergeCell ref="A1:P1"/>
    <mergeCell ref="A3:P3"/>
    <mergeCell ref="A4:P4"/>
    <mergeCell ref="B6:D7"/>
    <mergeCell ref="G6:J6"/>
    <mergeCell ref="M6:P6"/>
    <mergeCell ref="G7:J7"/>
    <mergeCell ref="M7:P7"/>
  </mergeCells>
  <printOptions horizontalCentered="1"/>
  <pageMargins left="0.35433070866141736" right="0.15748031496062992" top="0.5511811023622047" bottom="0.6692913385826772" header="0.5118110236220472" footer="0.5118110236220472"/>
  <pageSetup horizontalDpi="300" verticalDpi="300" orientation="portrait" paperSize="9" scale="75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92"/>
  <sheetViews>
    <sheetView zoomScale="120" zoomScaleNormal="120" zoomScalePageLayoutView="0" workbookViewId="0" topLeftCell="A1">
      <pane xSplit="5" ySplit="7" topLeftCell="L83" activePane="bottomRight" state="frozen"/>
      <selection pane="topLeft" activeCell="S93" sqref="S93"/>
      <selection pane="topRight" activeCell="S93" sqref="S93"/>
      <selection pane="bottomLeft" activeCell="S93" sqref="S93"/>
      <selection pane="bottomRight" activeCell="S93" sqref="S93"/>
    </sheetView>
  </sheetViews>
  <sheetFormatPr defaultColWidth="8.88671875" defaultRowHeight="19.5" customHeight="1"/>
  <cols>
    <col min="1" max="1" width="1.66796875" style="131" customWidth="1"/>
    <col min="2" max="2" width="3.99609375" style="131" customWidth="1"/>
    <col min="3" max="3" width="3.88671875" style="131" customWidth="1"/>
    <col min="4" max="4" width="15.5546875" style="131" customWidth="1"/>
    <col min="5" max="5" width="1.66796875" style="131" customWidth="1"/>
    <col min="6" max="6" width="12.6640625" style="131" bestFit="1" customWidth="1"/>
    <col min="7" max="7" width="12.5546875" style="131" customWidth="1"/>
    <col min="8" max="8" width="15.10546875" style="381" customWidth="1"/>
    <col min="9" max="9" width="11.6640625" style="131" customWidth="1"/>
    <col min="10" max="10" width="15.10546875" style="131" customWidth="1"/>
    <col min="11" max="11" width="13.6640625" style="131" customWidth="1"/>
    <col min="12" max="12" width="14.10546875" style="131" customWidth="1"/>
    <col min="13" max="13" width="15.10546875" style="131" customWidth="1"/>
    <col min="14" max="14" width="13.77734375" style="131" customWidth="1"/>
    <col min="15" max="15" width="13.10546875" style="131" customWidth="1"/>
    <col min="16" max="16" width="15.10546875" style="131" customWidth="1"/>
    <col min="17" max="17" width="13.99609375" style="131" customWidth="1"/>
    <col min="18" max="18" width="15.10546875" style="131" bestFit="1" customWidth="1"/>
    <col min="19" max="19" width="13.88671875" style="131" bestFit="1" customWidth="1"/>
    <col min="20" max="16384" width="8.88671875" style="131" customWidth="1"/>
  </cols>
  <sheetData>
    <row r="1" spans="1:18" ht="27" customHeight="1">
      <c r="A1" s="503" t="s">
        <v>39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</row>
    <row r="2" spans="1:18" ht="7.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1:18" ht="15" customHeight="1">
      <c r="A3" s="504" t="s">
        <v>415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</row>
    <row r="4" spans="1:18" ht="15" customHeight="1">
      <c r="A4" s="292"/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3"/>
      <c r="N4" s="293"/>
      <c r="O4" s="293"/>
      <c r="P4" s="293"/>
      <c r="Q4" s="293"/>
      <c r="R4" s="294"/>
    </row>
    <row r="5" spans="1:18" ht="21" customHeight="1" thickBot="1">
      <c r="A5" s="295" t="s">
        <v>38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296" t="s">
        <v>30</v>
      </c>
    </row>
    <row r="6" spans="1:18" s="189" customFormat="1" ht="19.5" customHeight="1">
      <c r="A6" s="195"/>
      <c r="B6" s="505" t="s">
        <v>75</v>
      </c>
      <c r="C6" s="505"/>
      <c r="D6" s="505"/>
      <c r="E6" s="196"/>
      <c r="F6" s="507" t="s">
        <v>273</v>
      </c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9"/>
      <c r="R6" s="510" t="s">
        <v>61</v>
      </c>
    </row>
    <row r="7" spans="1:18" s="189" customFormat="1" ht="19.5" customHeight="1" thickBot="1">
      <c r="A7" s="197"/>
      <c r="B7" s="506"/>
      <c r="C7" s="506"/>
      <c r="D7" s="506"/>
      <c r="E7" s="198"/>
      <c r="F7" s="297" t="s">
        <v>201</v>
      </c>
      <c r="G7" s="297" t="s">
        <v>202</v>
      </c>
      <c r="H7" s="297" t="s">
        <v>235</v>
      </c>
      <c r="I7" s="297" t="s">
        <v>236</v>
      </c>
      <c r="J7" s="297" t="s">
        <v>237</v>
      </c>
      <c r="K7" s="297" t="s">
        <v>238</v>
      </c>
      <c r="L7" s="297" t="s">
        <v>239</v>
      </c>
      <c r="M7" s="297" t="s">
        <v>240</v>
      </c>
      <c r="N7" s="297" t="s">
        <v>241</v>
      </c>
      <c r="O7" s="216" t="s">
        <v>210</v>
      </c>
      <c r="P7" s="297" t="s">
        <v>211</v>
      </c>
      <c r="Q7" s="217" t="s">
        <v>212</v>
      </c>
      <c r="R7" s="511"/>
    </row>
    <row r="8" spans="1:18" ht="18.75" customHeight="1">
      <c r="A8" s="133"/>
      <c r="B8" s="135"/>
      <c r="C8" s="135"/>
      <c r="D8" s="135"/>
      <c r="E8" s="136"/>
      <c r="F8" s="137"/>
      <c r="G8" s="137"/>
      <c r="H8" s="137"/>
      <c r="I8" s="137"/>
      <c r="J8" s="137"/>
      <c r="K8" s="137"/>
      <c r="L8" s="137"/>
      <c r="M8" s="298"/>
      <c r="N8" s="298"/>
      <c r="O8" s="322"/>
      <c r="P8" s="298"/>
      <c r="Q8" s="323"/>
      <c r="R8" s="324"/>
    </row>
    <row r="9" spans="1:18" ht="18.75" customHeight="1">
      <c r="A9" s="138"/>
      <c r="B9" s="139" t="s">
        <v>0</v>
      </c>
      <c r="C9" s="512" t="s">
        <v>42</v>
      </c>
      <c r="D9" s="512"/>
      <c r="E9" s="141"/>
      <c r="F9" s="142">
        <f>SUM(F11:F27)</f>
        <v>22315796069</v>
      </c>
      <c r="G9" s="142">
        <f aca="true" t="shared" si="0" ref="G9:Q9">SUM(G11:G27)</f>
        <v>0</v>
      </c>
      <c r="H9" s="371">
        <f t="shared" si="0"/>
        <v>3806488636</v>
      </c>
      <c r="I9" s="142">
        <f t="shared" si="0"/>
        <v>3982567536</v>
      </c>
      <c r="J9" s="142">
        <f t="shared" si="0"/>
        <v>3199073898</v>
      </c>
      <c r="K9" s="142">
        <f t="shared" si="0"/>
        <v>2438296132</v>
      </c>
      <c r="L9" s="142">
        <f t="shared" si="0"/>
        <v>3167232878</v>
      </c>
      <c r="M9" s="142">
        <f t="shared" si="0"/>
        <v>0</v>
      </c>
      <c r="N9" s="142">
        <f t="shared" si="0"/>
        <v>0</v>
      </c>
      <c r="O9" s="142">
        <f t="shared" si="0"/>
        <v>2552900062</v>
      </c>
      <c r="P9" s="142">
        <f t="shared" si="0"/>
        <v>4344611188</v>
      </c>
      <c r="Q9" s="142">
        <f t="shared" si="0"/>
        <v>2903401891</v>
      </c>
      <c r="R9" s="325">
        <f>SUM(F9:Q9)</f>
        <v>48710368290</v>
      </c>
    </row>
    <row r="10" spans="1:18" ht="18.75" customHeight="1">
      <c r="A10" s="138"/>
      <c r="B10" s="139"/>
      <c r="C10" s="140"/>
      <c r="D10" s="143"/>
      <c r="E10" s="141"/>
      <c r="F10" s="30"/>
      <c r="G10" s="30"/>
      <c r="H10" s="372"/>
      <c r="I10" s="30"/>
      <c r="J10" s="30"/>
      <c r="K10" s="30"/>
      <c r="L10" s="30"/>
      <c r="M10" s="30"/>
      <c r="N10" s="30"/>
      <c r="O10" s="319"/>
      <c r="P10" s="142"/>
      <c r="Q10" s="319"/>
      <c r="R10" s="325"/>
    </row>
    <row r="11" spans="1:18" ht="18.75" customHeight="1">
      <c r="A11" s="138"/>
      <c r="B11" s="144"/>
      <c r="C11" s="301"/>
      <c r="D11" s="145" t="s">
        <v>76</v>
      </c>
      <c r="E11" s="146"/>
      <c r="F11" s="30">
        <v>3845945413</v>
      </c>
      <c r="G11" s="30"/>
      <c r="H11" s="372"/>
      <c r="I11" s="30"/>
      <c r="J11" s="30"/>
      <c r="K11" s="30"/>
      <c r="L11" s="30"/>
      <c r="M11" s="30"/>
      <c r="N11" s="30"/>
      <c r="O11" s="319"/>
      <c r="P11" s="142"/>
      <c r="Q11" s="319"/>
      <c r="R11" s="325">
        <f aca="true" t="shared" si="1" ref="R11:R77">SUM(F11:Q11)</f>
        <v>3845945413</v>
      </c>
    </row>
    <row r="12" spans="1:18" ht="18.75" customHeight="1">
      <c r="A12" s="138"/>
      <c r="B12" s="144"/>
      <c r="C12" s="301"/>
      <c r="D12" s="145" t="s">
        <v>245</v>
      </c>
      <c r="E12" s="146"/>
      <c r="F12" s="30"/>
      <c r="G12" s="30"/>
      <c r="H12" s="372"/>
      <c r="I12" s="30"/>
      <c r="J12" s="30"/>
      <c r="K12" s="30"/>
      <c r="L12" s="30"/>
      <c r="M12" s="30"/>
      <c r="N12" s="30"/>
      <c r="O12" s="319"/>
      <c r="P12" s="142"/>
      <c r="Q12" s="319"/>
      <c r="R12" s="325">
        <f t="shared" si="1"/>
        <v>0</v>
      </c>
    </row>
    <row r="13" spans="1:18" ht="18.75" customHeight="1">
      <c r="A13" s="138"/>
      <c r="B13" s="144"/>
      <c r="C13" s="301"/>
      <c r="D13" s="145" t="s">
        <v>123</v>
      </c>
      <c r="E13" s="146"/>
      <c r="F13" s="30"/>
      <c r="G13" s="30"/>
      <c r="H13" s="372"/>
      <c r="I13" s="30"/>
      <c r="J13" s="30"/>
      <c r="K13" s="30"/>
      <c r="L13" s="30"/>
      <c r="M13" s="30"/>
      <c r="N13" s="30"/>
      <c r="O13" s="319"/>
      <c r="P13" s="142"/>
      <c r="Q13" s="319">
        <v>4360000</v>
      </c>
      <c r="R13" s="325">
        <f t="shared" si="1"/>
        <v>4360000</v>
      </c>
    </row>
    <row r="14" spans="1:18" ht="18.75" customHeight="1">
      <c r="A14" s="138"/>
      <c r="B14" s="144"/>
      <c r="C14" s="301"/>
      <c r="D14" s="145" t="s">
        <v>179</v>
      </c>
      <c r="E14" s="146"/>
      <c r="F14" s="30"/>
      <c r="G14" s="30"/>
      <c r="H14" s="372">
        <v>1228469637</v>
      </c>
      <c r="I14" s="30"/>
      <c r="J14" s="30"/>
      <c r="K14" s="30"/>
      <c r="L14" s="30"/>
      <c r="M14" s="30"/>
      <c r="N14" s="30"/>
      <c r="O14" s="319"/>
      <c r="P14" s="142"/>
      <c r="Q14" s="319"/>
      <c r="R14" s="325">
        <f t="shared" si="1"/>
        <v>1228469637</v>
      </c>
    </row>
    <row r="15" spans="1:18" ht="18.75" customHeight="1">
      <c r="A15" s="138"/>
      <c r="B15" s="144"/>
      <c r="C15" s="301"/>
      <c r="D15" s="145" t="s">
        <v>78</v>
      </c>
      <c r="E15" s="146"/>
      <c r="F15" s="30">
        <v>271039600</v>
      </c>
      <c r="G15" s="30"/>
      <c r="H15" s="372"/>
      <c r="I15" s="30"/>
      <c r="J15" s="30"/>
      <c r="K15" s="30"/>
      <c r="L15" s="30"/>
      <c r="M15" s="30"/>
      <c r="N15" s="30"/>
      <c r="O15" s="319"/>
      <c r="P15" s="142"/>
      <c r="Q15" s="319"/>
      <c r="R15" s="325">
        <f t="shared" si="1"/>
        <v>271039600</v>
      </c>
    </row>
    <row r="16" spans="1:18" ht="18.75" customHeight="1">
      <c r="A16" s="138"/>
      <c r="B16" s="144"/>
      <c r="C16" s="301"/>
      <c r="D16" s="145" t="s">
        <v>79</v>
      </c>
      <c r="E16" s="146"/>
      <c r="F16" s="30">
        <v>53350364</v>
      </c>
      <c r="G16" s="30"/>
      <c r="H16" s="372"/>
      <c r="I16" s="30"/>
      <c r="J16" s="30"/>
      <c r="K16" s="30"/>
      <c r="L16" s="30"/>
      <c r="M16" s="30"/>
      <c r="N16" s="30"/>
      <c r="O16" s="319"/>
      <c r="P16" s="142"/>
      <c r="Q16" s="319"/>
      <c r="R16" s="325">
        <f t="shared" si="1"/>
        <v>53350364</v>
      </c>
    </row>
    <row r="17" spans="1:18" ht="18.75" customHeight="1">
      <c r="A17" s="138"/>
      <c r="B17" s="144"/>
      <c r="C17" s="301"/>
      <c r="D17" s="145" t="s">
        <v>80</v>
      </c>
      <c r="E17" s="146"/>
      <c r="F17" s="30">
        <v>98636367</v>
      </c>
      <c r="G17" s="30"/>
      <c r="H17" s="372">
        <v>98968999</v>
      </c>
      <c r="I17" s="30"/>
      <c r="J17" s="30">
        <v>83181821</v>
      </c>
      <c r="K17" s="30">
        <v>52272729</v>
      </c>
      <c r="L17" s="30"/>
      <c r="M17" s="30"/>
      <c r="N17" s="30"/>
      <c r="O17" s="319"/>
      <c r="P17" s="142"/>
      <c r="Q17" s="319"/>
      <c r="R17" s="325">
        <f t="shared" si="1"/>
        <v>333059916</v>
      </c>
    </row>
    <row r="18" spans="1:18" ht="18.75" customHeight="1">
      <c r="A18" s="138"/>
      <c r="B18" s="144"/>
      <c r="C18" s="301"/>
      <c r="D18" s="145" t="s">
        <v>40</v>
      </c>
      <c r="E18" s="146"/>
      <c r="F18" s="30"/>
      <c r="G18" s="30"/>
      <c r="H18" s="372"/>
      <c r="I18" s="30"/>
      <c r="J18" s="30"/>
      <c r="K18" s="30"/>
      <c r="L18" s="30"/>
      <c r="M18" s="30"/>
      <c r="N18" s="30"/>
      <c r="O18" s="319"/>
      <c r="P18" s="142"/>
      <c r="Q18" s="319"/>
      <c r="R18" s="325">
        <f t="shared" si="1"/>
        <v>0</v>
      </c>
    </row>
    <row r="19" spans="1:18" ht="18.75" customHeight="1">
      <c r="A19" s="138"/>
      <c r="B19" s="144"/>
      <c r="C19" s="301"/>
      <c r="D19" s="145" t="s">
        <v>246</v>
      </c>
      <c r="E19" s="146"/>
      <c r="F19" s="30">
        <f>473996240+81176875</f>
        <v>555173115</v>
      </c>
      <c r="G19" s="30"/>
      <c r="H19" s="372"/>
      <c r="I19" s="30">
        <v>75563038</v>
      </c>
      <c r="J19" s="30">
        <v>33260109</v>
      </c>
      <c r="K19" s="30">
        <v>32711720</v>
      </c>
      <c r="L19" s="30">
        <v>63897814</v>
      </c>
      <c r="M19" s="30"/>
      <c r="N19" s="30"/>
      <c r="O19" s="319"/>
      <c r="P19" s="142">
        <v>137390806</v>
      </c>
      <c r="Q19" s="319"/>
      <c r="R19" s="325">
        <f t="shared" si="1"/>
        <v>897996602</v>
      </c>
    </row>
    <row r="20" spans="1:18" ht="18.75" customHeight="1">
      <c r="A20" s="138"/>
      <c r="B20" s="144"/>
      <c r="C20" s="301"/>
      <c r="D20" s="145" t="s">
        <v>107</v>
      </c>
      <c r="E20" s="146"/>
      <c r="F20" s="30">
        <f>67783000+12664922</f>
        <v>80447922</v>
      </c>
      <c r="G20" s="30"/>
      <c r="H20" s="372"/>
      <c r="I20" s="30">
        <v>31615056</v>
      </c>
      <c r="J20" s="30"/>
      <c r="K20" s="30"/>
      <c r="L20" s="30"/>
      <c r="M20" s="30"/>
      <c r="N20" s="30"/>
      <c r="O20" s="319"/>
      <c r="P20" s="142">
        <v>2020000</v>
      </c>
      <c r="Q20" s="319"/>
      <c r="R20" s="325">
        <f t="shared" si="1"/>
        <v>114082978</v>
      </c>
    </row>
    <row r="21" spans="1:18" ht="18.75" customHeight="1">
      <c r="A21" s="138"/>
      <c r="B21" s="144"/>
      <c r="C21" s="301"/>
      <c r="D21" s="145" t="s">
        <v>108</v>
      </c>
      <c r="E21" s="146"/>
      <c r="F21" s="30">
        <v>17030000000</v>
      </c>
      <c r="G21" s="30"/>
      <c r="H21" s="372">
        <v>2479000000</v>
      </c>
      <c r="I21" s="30">
        <v>3802000000</v>
      </c>
      <c r="J21" s="30">
        <v>3042000000</v>
      </c>
      <c r="K21" s="30">
        <v>2277000000</v>
      </c>
      <c r="L21" s="30">
        <v>3029000000</v>
      </c>
      <c r="M21" s="30"/>
      <c r="N21" s="30"/>
      <c r="O21" s="319">
        <v>2474000000</v>
      </c>
      <c r="P21" s="142">
        <v>3298000000</v>
      </c>
      <c r="Q21" s="319">
        <v>2746000000</v>
      </c>
      <c r="R21" s="325">
        <f t="shared" si="1"/>
        <v>40177000000</v>
      </c>
    </row>
    <row r="22" spans="1:18" ht="18.75" customHeight="1">
      <c r="A22" s="138"/>
      <c r="B22" s="144"/>
      <c r="C22" s="301"/>
      <c r="D22" s="145" t="s">
        <v>88</v>
      </c>
      <c r="E22" s="146"/>
      <c r="F22" s="30">
        <f>354998870+5778451</f>
        <v>360777321</v>
      </c>
      <c r="G22" s="30"/>
      <c r="H22" s="372"/>
      <c r="I22" s="30">
        <v>17983418</v>
      </c>
      <c r="J22" s="30"/>
      <c r="K22" s="30"/>
      <c r="L22" s="30">
        <v>4068850</v>
      </c>
      <c r="M22" s="30"/>
      <c r="N22" s="30"/>
      <c r="O22" s="319"/>
      <c r="P22" s="142">
        <v>5946774</v>
      </c>
      <c r="Q22" s="319"/>
      <c r="R22" s="325">
        <f t="shared" si="1"/>
        <v>388776363</v>
      </c>
    </row>
    <row r="23" spans="1:18" ht="18.75" customHeight="1">
      <c r="A23" s="138"/>
      <c r="B23" s="144"/>
      <c r="C23" s="301"/>
      <c r="D23" s="145" t="s">
        <v>167</v>
      </c>
      <c r="E23" s="146"/>
      <c r="F23" s="30"/>
      <c r="G23" s="30"/>
      <c r="H23" s="372"/>
      <c r="I23" s="30">
        <v>44686995</v>
      </c>
      <c r="J23" s="30">
        <v>29459188</v>
      </c>
      <c r="K23" s="30"/>
      <c r="L23" s="30">
        <v>65347712</v>
      </c>
      <c r="M23" s="30"/>
      <c r="N23" s="30"/>
      <c r="O23" s="319">
        <v>66380062</v>
      </c>
      <c r="P23" s="142">
        <v>123195597</v>
      </c>
      <c r="Q23" s="319">
        <v>153041891</v>
      </c>
      <c r="R23" s="325">
        <f t="shared" si="1"/>
        <v>482111445</v>
      </c>
    </row>
    <row r="24" spans="1:18" ht="18.75" customHeight="1">
      <c r="A24" s="138"/>
      <c r="B24" s="144"/>
      <c r="C24" s="301"/>
      <c r="D24" s="145" t="s">
        <v>121</v>
      </c>
      <c r="E24" s="146"/>
      <c r="F24" s="30"/>
      <c r="G24" s="30"/>
      <c r="H24" s="372"/>
      <c r="I24" s="30"/>
      <c r="J24" s="30"/>
      <c r="K24" s="30"/>
      <c r="L24" s="30"/>
      <c r="M24" s="30"/>
      <c r="N24" s="30"/>
      <c r="O24" s="319"/>
      <c r="P24" s="142"/>
      <c r="Q24" s="319"/>
      <c r="R24" s="325">
        <f t="shared" si="1"/>
        <v>0</v>
      </c>
    </row>
    <row r="25" spans="1:18" ht="18.75" customHeight="1">
      <c r="A25" s="138"/>
      <c r="B25" s="144"/>
      <c r="C25" s="301"/>
      <c r="D25" s="145" t="s">
        <v>122</v>
      </c>
      <c r="E25" s="146"/>
      <c r="F25" s="30"/>
      <c r="G25" s="30"/>
      <c r="H25" s="372"/>
      <c r="I25" s="30"/>
      <c r="J25" s="30"/>
      <c r="K25" s="30"/>
      <c r="L25" s="30"/>
      <c r="M25" s="30"/>
      <c r="N25" s="30"/>
      <c r="O25" s="319"/>
      <c r="P25" s="142">
        <v>767443738</v>
      </c>
      <c r="Q25" s="319"/>
      <c r="R25" s="325">
        <f t="shared" si="1"/>
        <v>767443738</v>
      </c>
    </row>
    <row r="26" spans="1:18" ht="18.75" customHeight="1">
      <c r="A26" s="138"/>
      <c r="B26" s="144"/>
      <c r="C26" s="301"/>
      <c r="D26" s="145" t="s">
        <v>195</v>
      </c>
      <c r="E26" s="146"/>
      <c r="F26" s="30">
        <f>381822+18761874</f>
        <v>19143696</v>
      </c>
      <c r="G26" s="30"/>
      <c r="H26" s="372"/>
      <c r="I26" s="30">
        <v>10689120</v>
      </c>
      <c r="J26" s="30">
        <v>9520528</v>
      </c>
      <c r="K26" s="30">
        <v>76217960</v>
      </c>
      <c r="L26" s="30">
        <v>4669000</v>
      </c>
      <c r="M26" s="30"/>
      <c r="N26" s="30"/>
      <c r="O26" s="319">
        <v>12520000</v>
      </c>
      <c r="P26" s="142">
        <v>9387000</v>
      </c>
      <c r="Q26" s="319"/>
      <c r="R26" s="325">
        <f t="shared" si="1"/>
        <v>142147304</v>
      </c>
    </row>
    <row r="27" spans="1:18" ht="18.75" customHeight="1">
      <c r="A27" s="138"/>
      <c r="B27" s="144"/>
      <c r="C27" s="148"/>
      <c r="D27" s="145" t="s">
        <v>247</v>
      </c>
      <c r="E27" s="146"/>
      <c r="F27" s="30">
        <f>1282271</f>
        <v>1282271</v>
      </c>
      <c r="G27" s="30"/>
      <c r="H27" s="372">
        <v>50000</v>
      </c>
      <c r="I27" s="30">
        <v>29909</v>
      </c>
      <c r="J27" s="30">
        <v>1652252</v>
      </c>
      <c r="K27" s="30">
        <v>93723</v>
      </c>
      <c r="L27" s="30">
        <v>249502</v>
      </c>
      <c r="M27" s="30"/>
      <c r="N27" s="30"/>
      <c r="O27" s="319"/>
      <c r="P27" s="142">
        <v>1227273</v>
      </c>
      <c r="Q27" s="319"/>
      <c r="R27" s="325">
        <f t="shared" si="1"/>
        <v>4584930</v>
      </c>
    </row>
    <row r="28" spans="1:18" ht="18.75" customHeight="1">
      <c r="A28" s="138"/>
      <c r="B28" s="139" t="s">
        <v>3</v>
      </c>
      <c r="C28" s="512" t="s">
        <v>248</v>
      </c>
      <c r="D28" s="512"/>
      <c r="E28" s="149"/>
      <c r="F28" s="142">
        <f aca="true" t="shared" si="2" ref="F28:M28">SUM(F30:F32)</f>
        <v>15390749132</v>
      </c>
      <c r="G28" s="142">
        <f t="shared" si="2"/>
        <v>0</v>
      </c>
      <c r="H28" s="371">
        <f t="shared" si="2"/>
        <v>4461385636</v>
      </c>
      <c r="I28" s="142">
        <f t="shared" si="2"/>
        <v>5406917051</v>
      </c>
      <c r="J28" s="142">
        <f t="shared" si="2"/>
        <v>4035654734</v>
      </c>
      <c r="K28" s="142">
        <f t="shared" si="2"/>
        <v>2535678734</v>
      </c>
      <c r="L28" s="142">
        <f>SUM(L30:L32)</f>
        <v>3530751123</v>
      </c>
      <c r="M28" s="142">
        <f t="shared" si="2"/>
        <v>0</v>
      </c>
      <c r="N28" s="142">
        <f>SUM(N30:N32)</f>
        <v>0</v>
      </c>
      <c r="O28" s="326">
        <f>SUM(O30:O32)</f>
        <v>2868159866</v>
      </c>
      <c r="P28" s="142">
        <f>SUM(P30:P32)</f>
        <v>3309742401</v>
      </c>
      <c r="Q28" s="30">
        <f>SUM(Q30:Q32)</f>
        <v>3474010423</v>
      </c>
      <c r="R28" s="325">
        <f t="shared" si="1"/>
        <v>45013049100</v>
      </c>
    </row>
    <row r="29" spans="1:18" ht="18.75" customHeight="1">
      <c r="A29" s="138"/>
      <c r="B29" s="139"/>
      <c r="C29" s="140"/>
      <c r="D29" s="140"/>
      <c r="E29" s="149"/>
      <c r="F29" s="30"/>
      <c r="G29" s="142"/>
      <c r="H29" s="371"/>
      <c r="I29" s="142"/>
      <c r="J29" s="142"/>
      <c r="K29" s="142"/>
      <c r="L29" s="142"/>
      <c r="M29" s="142"/>
      <c r="N29" s="142"/>
      <c r="O29" s="326"/>
      <c r="P29" s="142"/>
      <c r="Q29" s="319"/>
      <c r="R29" s="325"/>
    </row>
    <row r="30" spans="1:18" ht="18.75" customHeight="1">
      <c r="A30" s="138"/>
      <c r="B30" s="144"/>
      <c r="C30" s="301"/>
      <c r="D30" s="145" t="s">
        <v>249</v>
      </c>
      <c r="E30" s="146"/>
      <c r="F30" s="30"/>
      <c r="G30" s="142"/>
      <c r="H30" s="371">
        <f>+'연구원원가명세서(2018.12.31)'!E44</f>
        <v>1864239685</v>
      </c>
      <c r="I30" s="142"/>
      <c r="J30" s="142"/>
      <c r="K30" s="142"/>
      <c r="L30" s="142"/>
      <c r="M30" s="142"/>
      <c r="N30" s="142"/>
      <c r="O30" s="326"/>
      <c r="P30" s="142"/>
      <c r="Q30" s="319"/>
      <c r="R30" s="325">
        <f t="shared" si="1"/>
        <v>1864239685</v>
      </c>
    </row>
    <row r="31" spans="1:18" ht="18.75" customHeight="1">
      <c r="A31" s="138"/>
      <c r="B31" s="144"/>
      <c r="C31" s="147"/>
      <c r="D31" s="145" t="s">
        <v>41</v>
      </c>
      <c r="E31" s="146"/>
      <c r="F31" s="30">
        <f>+'고유목적사업비명세서-사이트별(2018.12.31)'!F54</f>
        <v>14890990218</v>
      </c>
      <c r="G31" s="30">
        <f>+'고유목적사업비명세서-사이트별(2018.12.31)'!G54</f>
        <v>0</v>
      </c>
      <c r="H31" s="372">
        <f>+'고유목적사업비명세서-사이트별(2018.12.31)'!H54</f>
        <v>2597145951</v>
      </c>
      <c r="I31" s="30">
        <f>+'고유목적사업비명세서-사이트별(2018.12.31)'!I54</f>
        <v>5406917051</v>
      </c>
      <c r="J31" s="30">
        <f>+'고유목적사업비명세서-사이트별(2018.12.31)'!J54</f>
        <v>4035654734</v>
      </c>
      <c r="K31" s="30">
        <f>+'고유목적사업비명세서-사이트별(2018.12.31)'!K54</f>
        <v>2535678734</v>
      </c>
      <c r="L31" s="30">
        <f>+'고유목적사업비명세서-사이트별(2018.12.31)'!L54</f>
        <v>3530751123</v>
      </c>
      <c r="M31" s="30">
        <f>+'고유목적사업비명세서-사이트별(2018.12.31)'!M54</f>
        <v>0</v>
      </c>
      <c r="N31" s="30">
        <f>+'고유목적사업비명세서-사이트별(2018.12.31)'!N54</f>
        <v>0</v>
      </c>
      <c r="O31" s="30">
        <f>+'고유목적사업비명세서-사이트별(2018.12.31)'!O54</f>
        <v>2868159866</v>
      </c>
      <c r="P31" s="30">
        <f>+'고유목적사업비명세서-사이트별(2018.12.31)'!P54</f>
        <v>3309742401</v>
      </c>
      <c r="Q31" s="30">
        <f>+'고유목적사업비명세서-사이트별(2018.12.31)'!Q54</f>
        <v>3474010423</v>
      </c>
      <c r="R31" s="325">
        <f t="shared" si="1"/>
        <v>42649050501</v>
      </c>
    </row>
    <row r="32" spans="1:18" ht="18.75" customHeight="1">
      <c r="A32" s="138"/>
      <c r="B32" s="144"/>
      <c r="C32" s="147"/>
      <c r="D32" s="145" t="s">
        <v>59</v>
      </c>
      <c r="E32" s="146"/>
      <c r="F32" s="30">
        <v>499758914</v>
      </c>
      <c r="G32" s="142"/>
      <c r="H32" s="371"/>
      <c r="I32" s="142"/>
      <c r="J32" s="142"/>
      <c r="K32" s="142"/>
      <c r="L32" s="142"/>
      <c r="M32" s="142"/>
      <c r="N32" s="142"/>
      <c r="O32" s="326"/>
      <c r="P32" s="142"/>
      <c r="Q32" s="319"/>
      <c r="R32" s="325">
        <f t="shared" si="1"/>
        <v>499758914</v>
      </c>
    </row>
    <row r="33" spans="1:18" ht="18.75" customHeight="1">
      <c r="A33" s="353"/>
      <c r="B33" s="354"/>
      <c r="C33" s="355"/>
      <c r="D33" s="356"/>
      <c r="E33" s="357"/>
      <c r="F33" s="150"/>
      <c r="G33" s="327"/>
      <c r="H33" s="373"/>
      <c r="I33" s="327"/>
      <c r="J33" s="327"/>
      <c r="K33" s="327"/>
      <c r="L33" s="327"/>
      <c r="M33" s="327"/>
      <c r="N33" s="327"/>
      <c r="O33" s="319"/>
      <c r="P33" s="142"/>
      <c r="Q33" s="319"/>
      <c r="R33" s="325"/>
    </row>
    <row r="34" spans="1:18" ht="18.75" customHeight="1" thickBot="1">
      <c r="A34" s="134"/>
      <c r="B34" s="151" t="s">
        <v>27</v>
      </c>
      <c r="C34" s="513" t="s">
        <v>250</v>
      </c>
      <c r="D34" s="513"/>
      <c r="E34" s="328"/>
      <c r="F34" s="329">
        <f>F9-F28</f>
        <v>6925046937</v>
      </c>
      <c r="G34" s="329">
        <f aca="true" t="shared" si="3" ref="G34:M34">G9-G28</f>
        <v>0</v>
      </c>
      <c r="H34" s="374">
        <f t="shared" si="3"/>
        <v>-654897000</v>
      </c>
      <c r="I34" s="329">
        <f t="shared" si="3"/>
        <v>-1424349515</v>
      </c>
      <c r="J34" s="329">
        <f t="shared" si="3"/>
        <v>-836580836</v>
      </c>
      <c r="K34" s="329">
        <f t="shared" si="3"/>
        <v>-97382602</v>
      </c>
      <c r="L34" s="329">
        <f>L9-L28</f>
        <v>-363518245</v>
      </c>
      <c r="M34" s="329">
        <f t="shared" si="3"/>
        <v>0</v>
      </c>
      <c r="N34" s="329">
        <f>N9-N28</f>
        <v>0</v>
      </c>
      <c r="O34" s="330">
        <f>O9-O28</f>
        <v>-315259804</v>
      </c>
      <c r="P34" s="331">
        <f>P9-P28</f>
        <v>1034868787</v>
      </c>
      <c r="Q34" s="332">
        <f>Q9-Q28</f>
        <v>-570608532</v>
      </c>
      <c r="R34" s="333">
        <f t="shared" si="1"/>
        <v>3697319190</v>
      </c>
    </row>
    <row r="35" spans="1:18" ht="18.75" customHeight="1">
      <c r="A35" s="133"/>
      <c r="B35" s="334"/>
      <c r="C35" s="335"/>
      <c r="D35" s="335"/>
      <c r="E35" s="336"/>
      <c r="F35" s="337"/>
      <c r="G35" s="337"/>
      <c r="H35" s="375"/>
      <c r="I35" s="337"/>
      <c r="J35" s="337"/>
      <c r="K35" s="337"/>
      <c r="L35" s="337"/>
      <c r="M35" s="337"/>
      <c r="N35" s="337"/>
      <c r="O35" s="319"/>
      <c r="P35" s="142"/>
      <c r="Q35" s="319"/>
      <c r="R35" s="325"/>
    </row>
    <row r="36" spans="1:18" ht="18.75" customHeight="1">
      <c r="A36" s="138"/>
      <c r="B36" s="139" t="s">
        <v>18</v>
      </c>
      <c r="C36" s="512" t="s">
        <v>43</v>
      </c>
      <c r="D36" s="512"/>
      <c r="E36" s="141"/>
      <c r="F36" s="142">
        <f aca="true" t="shared" si="4" ref="F36:Q36">SUM(F38:F62)</f>
        <v>4686566286</v>
      </c>
      <c r="G36" s="142">
        <f t="shared" si="4"/>
        <v>3429892</v>
      </c>
      <c r="H36" s="371">
        <f t="shared" si="4"/>
        <v>311689900</v>
      </c>
      <c r="I36" s="142">
        <f t="shared" si="4"/>
        <v>6680</v>
      </c>
      <c r="J36" s="142">
        <f t="shared" si="4"/>
        <v>698808</v>
      </c>
      <c r="K36" s="142">
        <f t="shared" si="4"/>
        <v>733194</v>
      </c>
      <c r="L36" s="142">
        <f t="shared" si="4"/>
        <v>1910604</v>
      </c>
      <c r="M36" s="142">
        <f t="shared" si="4"/>
        <v>0</v>
      </c>
      <c r="N36" s="142">
        <f t="shared" si="4"/>
        <v>0</v>
      </c>
      <c r="O36" s="142">
        <f t="shared" si="4"/>
        <v>4009220</v>
      </c>
      <c r="P36" s="142">
        <f t="shared" si="4"/>
        <v>0</v>
      </c>
      <c r="Q36" s="142">
        <f t="shared" si="4"/>
        <v>9308</v>
      </c>
      <c r="R36" s="325">
        <f t="shared" si="1"/>
        <v>5009053892</v>
      </c>
    </row>
    <row r="37" spans="1:18" ht="18.75" customHeight="1">
      <c r="A37" s="138"/>
      <c r="B37" s="139"/>
      <c r="C37" s="140"/>
      <c r="D37" s="140"/>
      <c r="E37" s="141"/>
      <c r="F37" s="30"/>
      <c r="G37" s="30"/>
      <c r="H37" s="372"/>
      <c r="I37" s="30"/>
      <c r="J37" s="30"/>
      <c r="K37" s="30"/>
      <c r="L37" s="30"/>
      <c r="M37" s="30"/>
      <c r="N37" s="30"/>
      <c r="O37" s="319"/>
      <c r="P37" s="142"/>
      <c r="Q37" s="319"/>
      <c r="R37" s="325"/>
    </row>
    <row r="38" spans="1:18" ht="18.75" customHeight="1">
      <c r="A38" s="138"/>
      <c r="B38" s="144"/>
      <c r="C38" s="301"/>
      <c r="D38" s="145" t="s">
        <v>81</v>
      </c>
      <c r="E38" s="146"/>
      <c r="F38" s="30">
        <v>2484314131</v>
      </c>
      <c r="G38" s="30"/>
      <c r="H38" s="372">
        <v>136730505</v>
      </c>
      <c r="I38" s="30"/>
      <c r="J38" s="30"/>
      <c r="K38" s="30"/>
      <c r="L38" s="30"/>
      <c r="M38" s="30"/>
      <c r="N38" s="30"/>
      <c r="O38" s="319"/>
      <c r="P38" s="142"/>
      <c r="Q38" s="319"/>
      <c r="R38" s="325">
        <f t="shared" si="1"/>
        <v>2621044636</v>
      </c>
    </row>
    <row r="39" spans="1:18" ht="18.75" customHeight="1">
      <c r="A39" s="138"/>
      <c r="B39" s="144"/>
      <c r="C39" s="301"/>
      <c r="D39" s="145" t="s">
        <v>65</v>
      </c>
      <c r="E39" s="146"/>
      <c r="F39" s="30">
        <v>9675796</v>
      </c>
      <c r="G39" s="30"/>
      <c r="H39" s="372">
        <v>13324895</v>
      </c>
      <c r="I39" s="30"/>
      <c r="J39" s="30"/>
      <c r="K39" s="30"/>
      <c r="L39" s="30"/>
      <c r="M39" s="30"/>
      <c r="N39" s="30"/>
      <c r="O39" s="319"/>
      <c r="P39" s="142"/>
      <c r="Q39" s="319"/>
      <c r="R39" s="325">
        <f t="shared" si="1"/>
        <v>23000691</v>
      </c>
    </row>
    <row r="40" spans="1:18" ht="18.75" customHeight="1">
      <c r="A40" s="138"/>
      <c r="B40" s="144"/>
      <c r="C40" s="301"/>
      <c r="D40" s="145" t="s">
        <v>99</v>
      </c>
      <c r="E40" s="146"/>
      <c r="F40" s="30">
        <v>28476140</v>
      </c>
      <c r="G40" s="30"/>
      <c r="H40" s="372"/>
      <c r="I40" s="30"/>
      <c r="J40" s="30"/>
      <c r="K40" s="30"/>
      <c r="L40" s="30"/>
      <c r="M40" s="30"/>
      <c r="N40" s="30"/>
      <c r="O40" s="319"/>
      <c r="P40" s="142"/>
      <c r="Q40" s="319"/>
      <c r="R40" s="325">
        <f t="shared" si="1"/>
        <v>28476140</v>
      </c>
    </row>
    <row r="41" spans="1:18" ht="18.75" customHeight="1">
      <c r="A41" s="138"/>
      <c r="B41" s="144"/>
      <c r="C41" s="301"/>
      <c r="D41" s="145" t="s">
        <v>20</v>
      </c>
      <c r="E41" s="146"/>
      <c r="F41" s="30">
        <v>313275214</v>
      </c>
      <c r="G41" s="30"/>
      <c r="H41" s="372">
        <v>15586544</v>
      </c>
      <c r="I41" s="30"/>
      <c r="J41" s="30"/>
      <c r="K41" s="30"/>
      <c r="L41" s="30"/>
      <c r="M41" s="30"/>
      <c r="N41" s="30"/>
      <c r="O41" s="319"/>
      <c r="P41" s="142"/>
      <c r="Q41" s="319"/>
      <c r="R41" s="325">
        <f t="shared" si="1"/>
        <v>328861758</v>
      </c>
    </row>
    <row r="42" spans="1:18" ht="18.75" customHeight="1">
      <c r="A42" s="138"/>
      <c r="B42" s="144"/>
      <c r="C42" s="301"/>
      <c r="D42" s="145" t="s">
        <v>22</v>
      </c>
      <c r="E42" s="146"/>
      <c r="F42" s="30">
        <v>37076298</v>
      </c>
      <c r="G42" s="30"/>
      <c r="H42" s="372">
        <v>26420970</v>
      </c>
      <c r="I42" s="30"/>
      <c r="J42" s="30"/>
      <c r="K42" s="30"/>
      <c r="L42" s="30"/>
      <c r="M42" s="30"/>
      <c r="N42" s="30"/>
      <c r="O42" s="319"/>
      <c r="P42" s="142"/>
      <c r="Q42" s="319"/>
      <c r="R42" s="325">
        <f t="shared" si="1"/>
        <v>63497268</v>
      </c>
    </row>
    <row r="43" spans="1:18" ht="18.75" customHeight="1">
      <c r="A43" s="138"/>
      <c r="B43" s="144"/>
      <c r="C43" s="301"/>
      <c r="D43" s="145" t="s">
        <v>82</v>
      </c>
      <c r="E43" s="146"/>
      <c r="F43" s="30">
        <v>25691800</v>
      </c>
      <c r="G43" s="30"/>
      <c r="H43" s="372">
        <v>2418500</v>
      </c>
      <c r="I43" s="30"/>
      <c r="J43" s="30"/>
      <c r="K43" s="30"/>
      <c r="L43" s="30"/>
      <c r="M43" s="30"/>
      <c r="N43" s="30"/>
      <c r="O43" s="319"/>
      <c r="P43" s="142"/>
      <c r="Q43" s="319"/>
      <c r="R43" s="325">
        <f t="shared" si="1"/>
        <v>28110300</v>
      </c>
    </row>
    <row r="44" spans="1:18" ht="18.75" customHeight="1">
      <c r="A44" s="138"/>
      <c r="B44" s="144"/>
      <c r="C44" s="301"/>
      <c r="D44" s="145" t="s">
        <v>83</v>
      </c>
      <c r="E44" s="146"/>
      <c r="F44" s="30">
        <v>18308050</v>
      </c>
      <c r="G44" s="30"/>
      <c r="H44" s="372">
        <v>4991720</v>
      </c>
      <c r="I44" s="30"/>
      <c r="J44" s="30"/>
      <c r="K44" s="30"/>
      <c r="L44" s="30"/>
      <c r="M44" s="30"/>
      <c r="N44" s="30"/>
      <c r="O44" s="319"/>
      <c r="P44" s="142"/>
      <c r="Q44" s="319"/>
      <c r="R44" s="325">
        <f t="shared" si="1"/>
        <v>23299770</v>
      </c>
    </row>
    <row r="45" spans="1:18" ht="18.75" customHeight="1">
      <c r="A45" s="138"/>
      <c r="B45" s="144"/>
      <c r="C45" s="301"/>
      <c r="D45" s="145" t="s">
        <v>52</v>
      </c>
      <c r="E45" s="146"/>
      <c r="F45" s="30">
        <v>136821403</v>
      </c>
      <c r="G45" s="30"/>
      <c r="H45" s="372"/>
      <c r="I45" s="30"/>
      <c r="J45" s="30"/>
      <c r="K45" s="30"/>
      <c r="L45" s="30"/>
      <c r="M45" s="30"/>
      <c r="N45" s="30"/>
      <c r="O45" s="319"/>
      <c r="P45" s="142"/>
      <c r="Q45" s="319"/>
      <c r="R45" s="325">
        <f t="shared" si="1"/>
        <v>136821403</v>
      </c>
    </row>
    <row r="46" spans="1:18" ht="18.75" customHeight="1">
      <c r="A46" s="138"/>
      <c r="B46" s="144"/>
      <c r="C46" s="301"/>
      <c r="D46" s="145" t="s">
        <v>19</v>
      </c>
      <c r="E46" s="146"/>
      <c r="F46" s="30">
        <v>174231651</v>
      </c>
      <c r="G46" s="30"/>
      <c r="H46" s="372">
        <v>19639124</v>
      </c>
      <c r="I46" s="30"/>
      <c r="J46" s="30"/>
      <c r="K46" s="30"/>
      <c r="L46" s="30"/>
      <c r="M46" s="30"/>
      <c r="N46" s="30"/>
      <c r="O46" s="319"/>
      <c r="P46" s="142"/>
      <c r="Q46" s="319"/>
      <c r="R46" s="325">
        <f t="shared" si="1"/>
        <v>193870775</v>
      </c>
    </row>
    <row r="47" spans="1:18" s="419" customFormat="1" ht="18.75" customHeight="1">
      <c r="A47" s="409"/>
      <c r="B47" s="410"/>
      <c r="C47" s="411"/>
      <c r="D47" s="412" t="s">
        <v>21</v>
      </c>
      <c r="E47" s="413"/>
      <c r="F47" s="414">
        <v>284757962</v>
      </c>
      <c r="G47" s="414"/>
      <c r="H47" s="415">
        <v>231458</v>
      </c>
      <c r="I47" s="414"/>
      <c r="J47" s="414"/>
      <c r="K47" s="414"/>
      <c r="L47" s="414"/>
      <c r="M47" s="414"/>
      <c r="N47" s="414"/>
      <c r="O47" s="416"/>
      <c r="P47" s="417"/>
      <c r="Q47" s="416"/>
      <c r="R47" s="418">
        <f t="shared" si="1"/>
        <v>284989420</v>
      </c>
    </row>
    <row r="48" spans="1:18" ht="18.75" customHeight="1">
      <c r="A48" s="138"/>
      <c r="B48" s="144"/>
      <c r="C48" s="301"/>
      <c r="D48" s="145" t="s">
        <v>70</v>
      </c>
      <c r="E48" s="146"/>
      <c r="F48" s="30">
        <v>62543015</v>
      </c>
      <c r="G48" s="30"/>
      <c r="H48" s="372">
        <v>13038000</v>
      </c>
      <c r="I48" s="30"/>
      <c r="J48" s="30"/>
      <c r="K48" s="30"/>
      <c r="L48" s="30"/>
      <c r="M48" s="30"/>
      <c r="N48" s="30"/>
      <c r="O48" s="319"/>
      <c r="P48" s="142"/>
      <c r="Q48" s="319"/>
      <c r="R48" s="325">
        <f t="shared" si="1"/>
        <v>75581015</v>
      </c>
    </row>
    <row r="49" spans="1:18" ht="18.75" customHeight="1">
      <c r="A49" s="138"/>
      <c r="B49" s="144"/>
      <c r="C49" s="301"/>
      <c r="D49" s="145" t="s">
        <v>71</v>
      </c>
      <c r="E49" s="146"/>
      <c r="F49" s="30">
        <v>18647399</v>
      </c>
      <c r="G49" s="30"/>
      <c r="H49" s="372">
        <v>8893702</v>
      </c>
      <c r="I49" s="30"/>
      <c r="J49" s="30"/>
      <c r="K49" s="30"/>
      <c r="L49" s="30"/>
      <c r="M49" s="30"/>
      <c r="N49" s="30"/>
      <c r="O49" s="319"/>
      <c r="P49" s="142"/>
      <c r="Q49" s="319"/>
      <c r="R49" s="325">
        <f t="shared" si="1"/>
        <v>27541101</v>
      </c>
    </row>
    <row r="50" spans="1:18" ht="18.75" customHeight="1">
      <c r="A50" s="138"/>
      <c r="B50" s="144"/>
      <c r="C50" s="301"/>
      <c r="D50" s="145" t="s">
        <v>53</v>
      </c>
      <c r="E50" s="146"/>
      <c r="F50" s="30">
        <v>259392062</v>
      </c>
      <c r="G50" s="30"/>
      <c r="H50" s="372">
        <v>14661093</v>
      </c>
      <c r="I50" s="30"/>
      <c r="J50" s="30"/>
      <c r="K50" s="30"/>
      <c r="L50" s="30"/>
      <c r="M50" s="30"/>
      <c r="N50" s="30"/>
      <c r="O50" s="319"/>
      <c r="P50" s="142"/>
      <c r="Q50" s="319"/>
      <c r="R50" s="325">
        <f t="shared" si="1"/>
        <v>274053155</v>
      </c>
    </row>
    <row r="51" spans="1:18" ht="18.75" customHeight="1">
      <c r="A51" s="138"/>
      <c r="B51" s="144"/>
      <c r="C51" s="301"/>
      <c r="D51" s="145" t="s">
        <v>56</v>
      </c>
      <c r="E51" s="146"/>
      <c r="F51" s="30">
        <v>335022737</v>
      </c>
      <c r="G51" s="30"/>
      <c r="H51" s="372">
        <v>10523180</v>
      </c>
      <c r="I51" s="30"/>
      <c r="J51" s="30"/>
      <c r="K51" s="30"/>
      <c r="L51" s="30"/>
      <c r="M51" s="30"/>
      <c r="N51" s="30"/>
      <c r="O51" s="319"/>
      <c r="P51" s="142"/>
      <c r="Q51" s="319"/>
      <c r="R51" s="325">
        <f t="shared" si="1"/>
        <v>345545917</v>
      </c>
    </row>
    <row r="52" spans="1:18" ht="18.75" customHeight="1">
      <c r="A52" s="138"/>
      <c r="B52" s="144"/>
      <c r="C52" s="301"/>
      <c r="D52" s="145" t="s">
        <v>24</v>
      </c>
      <c r="E52" s="146"/>
      <c r="F52" s="30">
        <v>18145670</v>
      </c>
      <c r="G52" s="30"/>
      <c r="H52" s="372">
        <v>3937830</v>
      </c>
      <c r="I52" s="30"/>
      <c r="J52" s="30"/>
      <c r="K52" s="30"/>
      <c r="L52" s="30"/>
      <c r="M52" s="30"/>
      <c r="N52" s="30"/>
      <c r="O52" s="319">
        <v>4000000</v>
      </c>
      <c r="P52" s="142"/>
      <c r="Q52" s="319"/>
      <c r="R52" s="325">
        <f t="shared" si="1"/>
        <v>26083500</v>
      </c>
    </row>
    <row r="53" spans="1:18" ht="18.75" customHeight="1">
      <c r="A53" s="138"/>
      <c r="B53" s="144"/>
      <c r="C53" s="301"/>
      <c r="D53" s="145" t="s">
        <v>54</v>
      </c>
      <c r="E53" s="146"/>
      <c r="F53" s="30">
        <v>49264200</v>
      </c>
      <c r="G53" s="30"/>
      <c r="H53" s="372">
        <v>220000</v>
      </c>
      <c r="I53" s="30"/>
      <c r="J53" s="30"/>
      <c r="K53" s="30"/>
      <c r="L53" s="30"/>
      <c r="M53" s="30"/>
      <c r="N53" s="30"/>
      <c r="O53" s="319"/>
      <c r="P53" s="142"/>
      <c r="Q53" s="319"/>
      <c r="R53" s="325">
        <f t="shared" si="1"/>
        <v>49484200</v>
      </c>
    </row>
    <row r="54" spans="1:18" ht="18.75" customHeight="1">
      <c r="A54" s="138"/>
      <c r="B54" s="144"/>
      <c r="C54" s="301"/>
      <c r="D54" s="145" t="s">
        <v>100</v>
      </c>
      <c r="E54" s="146"/>
      <c r="F54" s="30">
        <v>774200</v>
      </c>
      <c r="G54" s="30"/>
      <c r="H54" s="372">
        <v>1932000</v>
      </c>
      <c r="I54" s="30"/>
      <c r="J54" s="30"/>
      <c r="K54" s="30"/>
      <c r="L54" s="30"/>
      <c r="M54" s="30"/>
      <c r="N54" s="30"/>
      <c r="O54" s="319"/>
      <c r="P54" s="142"/>
      <c r="Q54" s="319"/>
      <c r="R54" s="325">
        <f t="shared" si="1"/>
        <v>2706200</v>
      </c>
    </row>
    <row r="55" spans="1:18" ht="18.75" customHeight="1">
      <c r="A55" s="138"/>
      <c r="B55" s="144"/>
      <c r="C55" s="301"/>
      <c r="D55" s="145" t="s">
        <v>26</v>
      </c>
      <c r="E55" s="146"/>
      <c r="F55" s="30">
        <v>47879510</v>
      </c>
      <c r="G55" s="30"/>
      <c r="H55" s="372">
        <v>2917800</v>
      </c>
      <c r="I55" s="30"/>
      <c r="J55" s="30"/>
      <c r="K55" s="30"/>
      <c r="L55" s="30"/>
      <c r="M55" s="30"/>
      <c r="N55" s="30"/>
      <c r="O55" s="319"/>
      <c r="P55" s="142"/>
      <c r="Q55" s="319"/>
      <c r="R55" s="325">
        <f t="shared" si="1"/>
        <v>50797310</v>
      </c>
    </row>
    <row r="56" spans="1:18" ht="18.75" customHeight="1">
      <c r="A56" s="138"/>
      <c r="B56" s="144"/>
      <c r="C56" s="301"/>
      <c r="D56" s="145" t="s">
        <v>84</v>
      </c>
      <c r="E56" s="146"/>
      <c r="F56" s="30">
        <v>126148647</v>
      </c>
      <c r="G56" s="30"/>
      <c r="H56" s="372">
        <v>2090450</v>
      </c>
      <c r="I56" s="30"/>
      <c r="J56" s="30"/>
      <c r="K56" s="30"/>
      <c r="L56" s="30"/>
      <c r="M56" s="30"/>
      <c r="N56" s="30"/>
      <c r="O56" s="319"/>
      <c r="P56" s="142"/>
      <c r="Q56" s="319"/>
      <c r="R56" s="325">
        <f t="shared" si="1"/>
        <v>128239097</v>
      </c>
    </row>
    <row r="57" spans="1:18" ht="18.75" customHeight="1">
      <c r="A57" s="138"/>
      <c r="B57" s="144"/>
      <c r="C57" s="301"/>
      <c r="D57" s="145" t="s">
        <v>55</v>
      </c>
      <c r="E57" s="146"/>
      <c r="F57" s="30">
        <v>84100000</v>
      </c>
      <c r="G57" s="30"/>
      <c r="H57" s="372"/>
      <c r="I57" s="30"/>
      <c r="J57" s="30"/>
      <c r="K57" s="30"/>
      <c r="L57" s="30">
        <v>1907400</v>
      </c>
      <c r="M57" s="30"/>
      <c r="N57" s="30"/>
      <c r="O57" s="319"/>
      <c r="P57" s="142"/>
      <c r="Q57" s="319"/>
      <c r="R57" s="325">
        <f t="shared" si="1"/>
        <v>86007400</v>
      </c>
    </row>
    <row r="58" spans="1:18" ht="18.75" customHeight="1">
      <c r="A58" s="138"/>
      <c r="B58" s="144"/>
      <c r="C58" s="301"/>
      <c r="D58" s="145" t="s">
        <v>23</v>
      </c>
      <c r="E58" s="146"/>
      <c r="F58" s="30">
        <v>110738864</v>
      </c>
      <c r="G58" s="30"/>
      <c r="H58" s="372">
        <v>26355100</v>
      </c>
      <c r="I58" s="30"/>
      <c r="J58" s="30"/>
      <c r="K58" s="30"/>
      <c r="L58" s="30"/>
      <c r="M58" s="30"/>
      <c r="N58" s="30"/>
      <c r="O58" s="319"/>
      <c r="P58" s="142"/>
      <c r="Q58" s="319"/>
      <c r="R58" s="325">
        <f t="shared" si="1"/>
        <v>137093964</v>
      </c>
    </row>
    <row r="59" spans="1:18" ht="18.75" customHeight="1">
      <c r="A59" s="138"/>
      <c r="B59" s="144"/>
      <c r="C59" s="301"/>
      <c r="D59" s="145" t="s">
        <v>438</v>
      </c>
      <c r="E59" s="146"/>
      <c r="F59" s="30">
        <v>27400000</v>
      </c>
      <c r="G59" s="30"/>
      <c r="H59" s="372">
        <v>6750000</v>
      </c>
      <c r="I59" s="30"/>
      <c r="J59" s="30"/>
      <c r="K59" s="30"/>
      <c r="L59" s="30"/>
      <c r="M59" s="30"/>
      <c r="N59" s="30"/>
      <c r="O59" s="319"/>
      <c r="P59" s="142"/>
      <c r="Q59" s="319"/>
      <c r="R59" s="325">
        <f t="shared" si="1"/>
        <v>34150000</v>
      </c>
    </row>
    <row r="60" spans="1:18" ht="18.75" customHeight="1">
      <c r="A60" s="138"/>
      <c r="B60" s="144"/>
      <c r="C60" s="301"/>
      <c r="D60" s="145" t="s">
        <v>94</v>
      </c>
      <c r="E60" s="146"/>
      <c r="F60" s="30">
        <v>22321148</v>
      </c>
      <c r="G60" s="30"/>
      <c r="H60" s="372">
        <v>567300</v>
      </c>
      <c r="I60" s="30"/>
      <c r="J60" s="30"/>
      <c r="K60" s="30"/>
      <c r="L60" s="30"/>
      <c r="M60" s="30"/>
      <c r="N60" s="30"/>
      <c r="O60" s="319"/>
      <c r="P60" s="142"/>
      <c r="Q60" s="319"/>
      <c r="R60" s="325">
        <f t="shared" si="1"/>
        <v>22888448</v>
      </c>
    </row>
    <row r="61" spans="1:18" ht="18.75" customHeight="1">
      <c r="A61" s="138"/>
      <c r="B61" s="144"/>
      <c r="C61" s="301"/>
      <c r="D61" s="145" t="s">
        <v>251</v>
      </c>
      <c r="E61" s="146"/>
      <c r="F61" s="30">
        <v>1893869</v>
      </c>
      <c r="G61" s="30">
        <v>3429892</v>
      </c>
      <c r="H61" s="372">
        <v>459729</v>
      </c>
      <c r="I61" s="30">
        <v>6680</v>
      </c>
      <c r="J61" s="30">
        <v>698808</v>
      </c>
      <c r="K61" s="30">
        <v>733194</v>
      </c>
      <c r="L61" s="30">
        <v>3204</v>
      </c>
      <c r="M61" s="30"/>
      <c r="N61" s="30"/>
      <c r="O61" s="319">
        <v>9220</v>
      </c>
      <c r="P61" s="142"/>
      <c r="Q61" s="319">
        <v>9308</v>
      </c>
      <c r="R61" s="325">
        <f t="shared" si="1"/>
        <v>7243904</v>
      </c>
    </row>
    <row r="62" spans="1:18" ht="18.75" customHeight="1">
      <c r="A62" s="138"/>
      <c r="B62" s="144"/>
      <c r="C62" s="301"/>
      <c r="D62" s="145" t="s">
        <v>252</v>
      </c>
      <c r="E62" s="146"/>
      <c r="F62" s="30">
        <v>9666520</v>
      </c>
      <c r="G62" s="30"/>
      <c r="H62" s="372"/>
      <c r="I62" s="30"/>
      <c r="J62" s="30"/>
      <c r="K62" s="30"/>
      <c r="L62" s="30"/>
      <c r="M62" s="30"/>
      <c r="N62" s="30"/>
      <c r="O62" s="319"/>
      <c r="P62" s="142"/>
      <c r="Q62" s="319"/>
      <c r="R62" s="325">
        <f t="shared" si="1"/>
        <v>9666520</v>
      </c>
    </row>
    <row r="63" spans="1:18" ht="18.75" customHeight="1">
      <c r="A63" s="138"/>
      <c r="B63" s="144"/>
      <c r="C63" s="148"/>
      <c r="D63" s="145"/>
      <c r="E63" s="146"/>
      <c r="F63" s="150"/>
      <c r="G63" s="327"/>
      <c r="H63" s="373"/>
      <c r="I63" s="327"/>
      <c r="J63" s="327"/>
      <c r="K63" s="327"/>
      <c r="L63" s="327"/>
      <c r="M63" s="327"/>
      <c r="N63" s="150"/>
      <c r="O63" s="352"/>
      <c r="P63" s="150"/>
      <c r="Q63" s="327"/>
      <c r="R63" s="325"/>
    </row>
    <row r="64" spans="1:18" ht="18.75" customHeight="1" thickBot="1">
      <c r="A64" s="134"/>
      <c r="B64" s="151" t="s">
        <v>25</v>
      </c>
      <c r="C64" s="513" t="s">
        <v>253</v>
      </c>
      <c r="D64" s="513"/>
      <c r="E64" s="328"/>
      <c r="F64" s="338">
        <f>+F34-F36</f>
        <v>2238480651</v>
      </c>
      <c r="G64" s="338">
        <f aca="true" t="shared" si="5" ref="G64:Q64">+G34-G36</f>
        <v>-3429892</v>
      </c>
      <c r="H64" s="376">
        <f t="shared" si="5"/>
        <v>-966586900</v>
      </c>
      <c r="I64" s="338">
        <f t="shared" si="5"/>
        <v>-1424356195</v>
      </c>
      <c r="J64" s="338">
        <f t="shared" si="5"/>
        <v>-837279644</v>
      </c>
      <c r="K64" s="338">
        <f t="shared" si="5"/>
        <v>-98115796</v>
      </c>
      <c r="L64" s="338">
        <f t="shared" si="5"/>
        <v>-365428849</v>
      </c>
      <c r="M64" s="338">
        <f t="shared" si="5"/>
        <v>0</v>
      </c>
      <c r="N64" s="338">
        <f t="shared" si="5"/>
        <v>0</v>
      </c>
      <c r="O64" s="338">
        <f t="shared" si="5"/>
        <v>-319269024</v>
      </c>
      <c r="P64" s="338">
        <f t="shared" si="5"/>
        <v>1034868787</v>
      </c>
      <c r="Q64" s="338">
        <f t="shared" si="5"/>
        <v>-570617840</v>
      </c>
      <c r="R64" s="333">
        <f t="shared" si="1"/>
        <v>-1311734702</v>
      </c>
    </row>
    <row r="65" spans="1:18" ht="18.75" customHeight="1">
      <c r="A65" s="133"/>
      <c r="B65" s="334"/>
      <c r="C65" s="335"/>
      <c r="D65" s="335"/>
      <c r="E65" s="336"/>
      <c r="F65" s="337"/>
      <c r="G65" s="337"/>
      <c r="H65" s="375"/>
      <c r="I65" s="337"/>
      <c r="J65" s="337"/>
      <c r="K65" s="337"/>
      <c r="L65" s="337"/>
      <c r="M65" s="337"/>
      <c r="N65" s="337"/>
      <c r="O65" s="319"/>
      <c r="P65" s="142"/>
      <c r="Q65" s="319"/>
      <c r="R65" s="325"/>
    </row>
    <row r="66" spans="1:18" ht="18.75" customHeight="1">
      <c r="A66" s="138"/>
      <c r="B66" s="139" t="s">
        <v>28</v>
      </c>
      <c r="C66" s="512" t="s">
        <v>85</v>
      </c>
      <c r="D66" s="512"/>
      <c r="E66" s="146"/>
      <c r="F66" s="142">
        <f>SUM(F68:F73)</f>
        <v>437881342</v>
      </c>
      <c r="G66" s="142">
        <f aca="true" t="shared" si="6" ref="G66:Q66">SUM(G68:G73)</f>
        <v>4047952</v>
      </c>
      <c r="H66" s="371">
        <f t="shared" si="6"/>
        <v>4958893</v>
      </c>
      <c r="I66" s="142">
        <f t="shared" si="6"/>
        <v>981978</v>
      </c>
      <c r="J66" s="142">
        <f t="shared" si="6"/>
        <v>1116274</v>
      </c>
      <c r="K66" s="142">
        <f t="shared" si="6"/>
        <v>35010182</v>
      </c>
      <c r="L66" s="142">
        <f t="shared" si="6"/>
        <v>1085694</v>
      </c>
      <c r="M66" s="142">
        <f t="shared" si="6"/>
        <v>0</v>
      </c>
      <c r="N66" s="142">
        <f t="shared" si="6"/>
        <v>0</v>
      </c>
      <c r="O66" s="142">
        <f t="shared" si="6"/>
        <v>686967</v>
      </c>
      <c r="P66" s="142">
        <f t="shared" si="6"/>
        <v>1210466</v>
      </c>
      <c r="Q66" s="142">
        <f t="shared" si="6"/>
        <v>1030391</v>
      </c>
      <c r="R66" s="325">
        <f>SUM(F66:Q66)</f>
        <v>488010139</v>
      </c>
    </row>
    <row r="67" spans="1:18" ht="18.75" customHeight="1">
      <c r="A67" s="138"/>
      <c r="B67" s="139"/>
      <c r="C67" s="140"/>
      <c r="D67" s="140"/>
      <c r="E67" s="146"/>
      <c r="F67" s="30"/>
      <c r="G67" s="30"/>
      <c r="H67" s="372"/>
      <c r="I67" s="30"/>
      <c r="J67" s="30"/>
      <c r="K67" s="30"/>
      <c r="L67" s="30"/>
      <c r="M67" s="30"/>
      <c r="N67" s="30"/>
      <c r="O67" s="319"/>
      <c r="P67" s="142"/>
      <c r="Q67" s="319"/>
      <c r="R67" s="325"/>
    </row>
    <row r="68" spans="1:18" ht="18.75" customHeight="1">
      <c r="A68" s="138"/>
      <c r="B68" s="139"/>
      <c r="C68" s="140"/>
      <c r="D68" s="140" t="s">
        <v>60</v>
      </c>
      <c r="E68" s="146"/>
      <c r="F68" s="30">
        <v>415371784</v>
      </c>
      <c r="G68" s="30">
        <v>4047952</v>
      </c>
      <c r="H68" s="372">
        <v>2033102</v>
      </c>
      <c r="I68" s="30">
        <v>331137</v>
      </c>
      <c r="J68" s="30">
        <v>1090735</v>
      </c>
      <c r="K68" s="30">
        <v>1004358</v>
      </c>
      <c r="L68" s="30">
        <v>295368</v>
      </c>
      <c r="M68" s="30"/>
      <c r="N68" s="30"/>
      <c r="O68" s="30">
        <v>69004</v>
      </c>
      <c r="P68" s="30">
        <v>766595</v>
      </c>
      <c r="Q68" s="30">
        <v>199139</v>
      </c>
      <c r="R68" s="325">
        <f aca="true" t="shared" si="7" ref="R68:R73">SUM(F68:Q68)</f>
        <v>425209174</v>
      </c>
    </row>
    <row r="69" spans="1:18" ht="18.75" customHeight="1">
      <c r="A69" s="138"/>
      <c r="B69" s="139"/>
      <c r="C69" s="140"/>
      <c r="D69" s="140" t="s">
        <v>254</v>
      </c>
      <c r="E69" s="146"/>
      <c r="F69" s="30"/>
      <c r="G69" s="30"/>
      <c r="H69" s="372"/>
      <c r="I69" s="30"/>
      <c r="J69" s="30"/>
      <c r="K69" s="30"/>
      <c r="L69" s="30"/>
      <c r="M69" s="30"/>
      <c r="N69" s="30"/>
      <c r="O69" s="319"/>
      <c r="P69" s="142"/>
      <c r="Q69" s="319"/>
      <c r="R69" s="325">
        <f t="shared" si="7"/>
        <v>0</v>
      </c>
    </row>
    <row r="70" spans="1:18" ht="18.75" customHeight="1">
      <c r="A70" s="138"/>
      <c r="B70" s="139"/>
      <c r="C70" s="140"/>
      <c r="D70" s="140" t="s">
        <v>255</v>
      </c>
      <c r="E70" s="146"/>
      <c r="F70" s="30"/>
      <c r="G70" s="30"/>
      <c r="H70" s="372"/>
      <c r="I70" s="30"/>
      <c r="J70" s="30"/>
      <c r="K70" s="30"/>
      <c r="L70" s="30"/>
      <c r="M70" s="30"/>
      <c r="N70" s="30"/>
      <c r="O70" s="319"/>
      <c r="P70" s="142"/>
      <c r="Q70" s="319"/>
      <c r="R70" s="325">
        <f t="shared" si="7"/>
        <v>0</v>
      </c>
    </row>
    <row r="71" spans="1:18" ht="18.75" customHeight="1">
      <c r="A71" s="138"/>
      <c r="B71" s="139"/>
      <c r="C71" s="140"/>
      <c r="D71" s="140" t="s">
        <v>80</v>
      </c>
      <c r="E71" s="146"/>
      <c r="F71" s="30"/>
      <c r="G71" s="30"/>
      <c r="H71" s="372"/>
      <c r="I71" s="30"/>
      <c r="J71" s="30"/>
      <c r="K71" s="30"/>
      <c r="L71" s="30"/>
      <c r="M71" s="30"/>
      <c r="N71" s="30"/>
      <c r="O71" s="319"/>
      <c r="P71" s="142"/>
      <c r="Q71" s="319"/>
      <c r="R71" s="325">
        <f t="shared" si="7"/>
        <v>0</v>
      </c>
    </row>
    <row r="72" spans="1:18" ht="18.75" customHeight="1">
      <c r="A72" s="138"/>
      <c r="B72" s="28"/>
      <c r="C72" s="147"/>
      <c r="D72" s="140" t="s">
        <v>86</v>
      </c>
      <c r="E72" s="146"/>
      <c r="F72" s="30">
        <v>22509558</v>
      </c>
      <c r="G72" s="30"/>
      <c r="H72" s="372">
        <v>2925791</v>
      </c>
      <c r="I72" s="30">
        <v>650841</v>
      </c>
      <c r="J72" s="30">
        <v>25539</v>
      </c>
      <c r="K72" s="30">
        <f>6705824+27300000</f>
        <v>34005824</v>
      </c>
      <c r="L72" s="30">
        <v>790326</v>
      </c>
      <c r="M72" s="30"/>
      <c r="N72" s="30"/>
      <c r="O72" s="319">
        <v>617963</v>
      </c>
      <c r="P72" s="142">
        <v>443871</v>
      </c>
      <c r="Q72" s="319">
        <v>831252</v>
      </c>
      <c r="R72" s="325">
        <f t="shared" si="7"/>
        <v>62800965</v>
      </c>
    </row>
    <row r="73" spans="1:18" ht="18.75" customHeight="1">
      <c r="A73" s="138"/>
      <c r="B73" s="28"/>
      <c r="C73" s="147"/>
      <c r="D73" s="140" t="s">
        <v>256</v>
      </c>
      <c r="E73" s="146"/>
      <c r="F73" s="30"/>
      <c r="G73" s="30"/>
      <c r="H73" s="372"/>
      <c r="I73" s="30"/>
      <c r="J73" s="30"/>
      <c r="K73" s="30"/>
      <c r="L73" s="30"/>
      <c r="M73" s="30"/>
      <c r="N73" s="30"/>
      <c r="O73" s="319"/>
      <c r="P73" s="142"/>
      <c r="Q73" s="319"/>
      <c r="R73" s="325">
        <f t="shared" si="7"/>
        <v>0</v>
      </c>
    </row>
    <row r="74" spans="1:18" ht="18.75" customHeight="1">
      <c r="A74" s="138"/>
      <c r="B74" s="139"/>
      <c r="C74" s="148"/>
      <c r="D74" s="140"/>
      <c r="E74" s="146"/>
      <c r="F74" s="30"/>
      <c r="G74" s="30"/>
      <c r="H74" s="372"/>
      <c r="I74" s="30"/>
      <c r="J74" s="30"/>
      <c r="K74" s="30"/>
      <c r="L74" s="30"/>
      <c r="M74" s="30"/>
      <c r="N74" s="30"/>
      <c r="O74" s="319"/>
      <c r="P74" s="142"/>
      <c r="Q74" s="319"/>
      <c r="R74" s="325"/>
    </row>
    <row r="75" spans="1:18" ht="18.75" customHeight="1">
      <c r="A75" s="138"/>
      <c r="B75" s="139" t="s">
        <v>29</v>
      </c>
      <c r="C75" s="512" t="s">
        <v>72</v>
      </c>
      <c r="D75" s="512"/>
      <c r="E75" s="146"/>
      <c r="F75" s="142">
        <f aca="true" t="shared" si="8" ref="F75:M75">SUM(F76:F81)</f>
        <v>219300243</v>
      </c>
      <c r="G75" s="142">
        <f t="shared" si="8"/>
        <v>0</v>
      </c>
      <c r="H75" s="371">
        <f t="shared" si="8"/>
        <v>191658</v>
      </c>
      <c r="I75" s="142">
        <f t="shared" si="8"/>
        <v>189669</v>
      </c>
      <c r="J75" s="142">
        <f t="shared" si="8"/>
        <v>0</v>
      </c>
      <c r="K75" s="142">
        <f t="shared" si="8"/>
        <v>18200</v>
      </c>
      <c r="L75" s="142">
        <f>SUM(L76:L81)</f>
        <v>0</v>
      </c>
      <c r="M75" s="142">
        <f t="shared" si="8"/>
        <v>0</v>
      </c>
      <c r="N75" s="142">
        <f>SUM(N76:N81)</f>
        <v>0</v>
      </c>
      <c r="O75" s="326">
        <f>SUM(O76:O81)</f>
        <v>30067</v>
      </c>
      <c r="P75" s="142">
        <f>SUM(P76:P81)</f>
        <v>0</v>
      </c>
      <c r="Q75" s="30">
        <f>SUM(Q76:Q81)</f>
        <v>7</v>
      </c>
      <c r="R75" s="325">
        <f>SUM(F75:Q75)</f>
        <v>219729844</v>
      </c>
    </row>
    <row r="76" spans="1:18" ht="18.75" customHeight="1">
      <c r="A76" s="138"/>
      <c r="B76" s="139"/>
      <c r="C76" s="140"/>
      <c r="D76" s="140"/>
      <c r="E76" s="146"/>
      <c r="F76" s="30"/>
      <c r="G76" s="30"/>
      <c r="H76" s="372"/>
      <c r="I76" s="30"/>
      <c r="J76" s="30"/>
      <c r="K76" s="30"/>
      <c r="L76" s="30"/>
      <c r="M76" s="30"/>
      <c r="N76" s="30"/>
      <c r="O76" s="319"/>
      <c r="P76" s="142"/>
      <c r="Q76" s="319"/>
      <c r="R76" s="325"/>
    </row>
    <row r="77" spans="1:18" ht="18.75" customHeight="1">
      <c r="A77" s="138"/>
      <c r="B77" s="139"/>
      <c r="C77" s="140"/>
      <c r="D77" s="140" t="s">
        <v>185</v>
      </c>
      <c r="E77" s="146"/>
      <c r="F77" s="30"/>
      <c r="G77" s="30"/>
      <c r="H77" s="372"/>
      <c r="I77" s="30"/>
      <c r="J77" s="30"/>
      <c r="K77" s="30"/>
      <c r="L77" s="30"/>
      <c r="M77" s="30"/>
      <c r="N77" s="30"/>
      <c r="O77" s="319"/>
      <c r="P77" s="142"/>
      <c r="Q77" s="319"/>
      <c r="R77" s="325">
        <f t="shared" si="1"/>
        <v>0</v>
      </c>
    </row>
    <row r="78" spans="1:18" ht="18.75" customHeight="1">
      <c r="A78" s="138"/>
      <c r="B78" s="139"/>
      <c r="C78" s="301"/>
      <c r="D78" s="140" t="s">
        <v>112</v>
      </c>
      <c r="E78" s="146"/>
      <c r="F78" s="30">
        <v>218499000</v>
      </c>
      <c r="G78" s="30"/>
      <c r="H78" s="372"/>
      <c r="I78" s="30"/>
      <c r="J78" s="30"/>
      <c r="K78" s="30"/>
      <c r="L78" s="30"/>
      <c r="M78" s="30"/>
      <c r="N78" s="30"/>
      <c r="O78" s="319"/>
      <c r="P78" s="142"/>
      <c r="Q78" s="319"/>
      <c r="R78" s="325">
        <f>SUM(F78:Q78)</f>
        <v>218499000</v>
      </c>
    </row>
    <row r="79" spans="1:18" ht="18.75" customHeight="1">
      <c r="A79" s="138"/>
      <c r="B79" s="139"/>
      <c r="C79" s="301"/>
      <c r="D79" s="140" t="s">
        <v>264</v>
      </c>
      <c r="E79" s="146"/>
      <c r="F79" s="30">
        <v>241243</v>
      </c>
      <c r="G79" s="30"/>
      <c r="H79" s="372">
        <v>191650</v>
      </c>
      <c r="I79" s="30">
        <v>189669</v>
      </c>
      <c r="J79" s="30"/>
      <c r="K79" s="30"/>
      <c r="L79" s="30"/>
      <c r="M79" s="30"/>
      <c r="N79" s="30"/>
      <c r="O79" s="319"/>
      <c r="P79" s="142"/>
      <c r="Q79" s="319"/>
      <c r="R79" s="325">
        <f>SUM(F79:Q79)</f>
        <v>622562</v>
      </c>
    </row>
    <row r="80" spans="1:18" ht="18.75" customHeight="1">
      <c r="A80" s="138"/>
      <c r="B80" s="28"/>
      <c r="C80" s="301"/>
      <c r="D80" s="140" t="s">
        <v>87</v>
      </c>
      <c r="E80" s="146"/>
      <c r="F80" s="30">
        <v>560000</v>
      </c>
      <c r="G80" s="30"/>
      <c r="H80" s="372">
        <v>8</v>
      </c>
      <c r="I80" s="30"/>
      <c r="J80" s="30"/>
      <c r="K80" s="30">
        <v>18200</v>
      </c>
      <c r="L80" s="30"/>
      <c r="M80" s="30"/>
      <c r="N80" s="30"/>
      <c r="O80" s="319">
        <v>30067</v>
      </c>
      <c r="P80" s="142"/>
      <c r="Q80" s="319">
        <v>7</v>
      </c>
      <c r="R80" s="325">
        <f>SUM(F80:Q80)</f>
        <v>608282</v>
      </c>
    </row>
    <row r="81" spans="1:18" ht="18.75" customHeight="1">
      <c r="A81" s="138"/>
      <c r="B81" s="28"/>
      <c r="C81" s="147"/>
      <c r="D81" s="140"/>
      <c r="E81" s="146"/>
      <c r="F81" s="150"/>
      <c r="G81" s="327"/>
      <c r="H81" s="373"/>
      <c r="I81" s="327"/>
      <c r="J81" s="327"/>
      <c r="K81" s="327"/>
      <c r="L81" s="327"/>
      <c r="M81" s="327"/>
      <c r="N81" s="30"/>
      <c r="O81" s="319"/>
      <c r="P81" s="142"/>
      <c r="Q81" s="319"/>
      <c r="R81" s="325"/>
    </row>
    <row r="82" spans="1:18" ht="18.75" customHeight="1">
      <c r="A82" s="138"/>
      <c r="B82" s="139" t="s">
        <v>50</v>
      </c>
      <c r="C82" s="512" t="s">
        <v>257</v>
      </c>
      <c r="D82" s="512"/>
      <c r="E82" s="146"/>
      <c r="F82" s="142">
        <f aca="true" t="shared" si="9" ref="F82:Q82">F64+F66-F75</f>
        <v>2457061750</v>
      </c>
      <c r="G82" s="142">
        <f t="shared" si="9"/>
        <v>618060</v>
      </c>
      <c r="H82" s="371">
        <f t="shared" si="9"/>
        <v>-961819665</v>
      </c>
      <c r="I82" s="142">
        <f t="shared" si="9"/>
        <v>-1423563886</v>
      </c>
      <c r="J82" s="142">
        <f t="shared" si="9"/>
        <v>-836163370</v>
      </c>
      <c r="K82" s="142">
        <f t="shared" si="9"/>
        <v>-63123814</v>
      </c>
      <c r="L82" s="142">
        <f t="shared" si="9"/>
        <v>-364343155</v>
      </c>
      <c r="M82" s="142">
        <f t="shared" si="9"/>
        <v>0</v>
      </c>
      <c r="N82" s="339">
        <f t="shared" si="9"/>
        <v>0</v>
      </c>
      <c r="O82" s="340">
        <f t="shared" si="9"/>
        <v>-318612124</v>
      </c>
      <c r="P82" s="339">
        <f t="shared" si="9"/>
        <v>1036079253</v>
      </c>
      <c r="Q82" s="341">
        <f t="shared" si="9"/>
        <v>-569587456</v>
      </c>
      <c r="R82" s="342">
        <f>SUM(F82:Q82)</f>
        <v>-1043454407</v>
      </c>
    </row>
    <row r="83" spans="1:18" ht="18.75" customHeight="1">
      <c r="A83" s="138"/>
      <c r="B83" s="139" t="s">
        <v>51</v>
      </c>
      <c r="C83" s="512" t="s">
        <v>66</v>
      </c>
      <c r="D83" s="512"/>
      <c r="E83" s="146"/>
      <c r="F83" s="30"/>
      <c r="G83" s="30"/>
      <c r="H83" s="372"/>
      <c r="I83" s="30"/>
      <c r="J83" s="30"/>
      <c r="K83" s="30"/>
      <c r="L83" s="30"/>
      <c r="M83" s="30"/>
      <c r="N83" s="30"/>
      <c r="O83" s="319"/>
      <c r="P83" s="142"/>
      <c r="Q83" s="319"/>
      <c r="R83" s="325">
        <f>SUM(F83:Q83)</f>
        <v>0</v>
      </c>
    </row>
    <row r="84" spans="1:18" ht="18.75" customHeight="1">
      <c r="A84" s="138"/>
      <c r="B84" s="139" t="s">
        <v>258</v>
      </c>
      <c r="C84" s="512" t="s">
        <v>67</v>
      </c>
      <c r="D84" s="512"/>
      <c r="E84" s="146"/>
      <c r="F84" s="150"/>
      <c r="G84" s="327"/>
      <c r="H84" s="373"/>
      <c r="I84" s="327"/>
      <c r="J84" s="327"/>
      <c r="K84" s="327"/>
      <c r="L84" s="327"/>
      <c r="M84" s="327"/>
      <c r="N84" s="30"/>
      <c r="O84" s="319"/>
      <c r="P84" s="142"/>
      <c r="Q84" s="319"/>
      <c r="R84" s="343">
        <f>SUM(F84:Q84)</f>
        <v>0</v>
      </c>
    </row>
    <row r="85" spans="1:18" ht="18.75" customHeight="1">
      <c r="A85" s="138"/>
      <c r="B85" s="344" t="str">
        <f>ROMAN(11,0)&amp;" ."</f>
        <v>XI .</v>
      </c>
      <c r="C85" s="512" t="s">
        <v>259</v>
      </c>
      <c r="D85" s="512"/>
      <c r="E85" s="146"/>
      <c r="F85" s="142">
        <f>+F82+F83-F84</f>
        <v>2457061750</v>
      </c>
      <c r="G85" s="142">
        <f aca="true" t="shared" si="10" ref="G85:N85">G82+R83-R84</f>
        <v>618060</v>
      </c>
      <c r="H85" s="371">
        <f t="shared" si="10"/>
        <v>-961819665</v>
      </c>
      <c r="I85" s="142">
        <f t="shared" si="10"/>
        <v>-1423563886</v>
      </c>
      <c r="J85" s="142">
        <f t="shared" si="10"/>
        <v>-836163370</v>
      </c>
      <c r="K85" s="142">
        <f t="shared" si="10"/>
        <v>-63123814</v>
      </c>
      <c r="L85" s="142">
        <f t="shared" si="10"/>
        <v>-364343155</v>
      </c>
      <c r="M85" s="142">
        <f t="shared" si="10"/>
        <v>0</v>
      </c>
      <c r="N85" s="339">
        <f t="shared" si="10"/>
        <v>0</v>
      </c>
      <c r="O85" s="340">
        <f>O82+X83-X84</f>
        <v>-318612124</v>
      </c>
      <c r="P85" s="339">
        <f>P82+Y83-Y84</f>
        <v>1036079253</v>
      </c>
      <c r="Q85" s="341">
        <f>Q82+Z83-Z84</f>
        <v>-569587456</v>
      </c>
      <c r="R85" s="325">
        <f>SUM(F85:Q85)</f>
        <v>-1043454407</v>
      </c>
    </row>
    <row r="86" spans="1:18" ht="18.75" customHeight="1">
      <c r="A86" s="138"/>
      <c r="B86" s="344" t="str">
        <f>ROMAN(12,0)&amp;" ."</f>
        <v>XII .</v>
      </c>
      <c r="C86" s="512" t="s">
        <v>260</v>
      </c>
      <c r="D86" s="512"/>
      <c r="E86" s="146"/>
      <c r="F86" s="30"/>
      <c r="G86" s="30"/>
      <c r="H86" s="372"/>
      <c r="I86" s="30"/>
      <c r="J86" s="30"/>
      <c r="K86" s="30"/>
      <c r="L86" s="30"/>
      <c r="M86" s="30"/>
      <c r="N86" s="30"/>
      <c r="O86" s="319"/>
      <c r="P86" s="142"/>
      <c r="Q86" s="319"/>
      <c r="R86" s="325">
        <f>SUM(F86:Q86)</f>
        <v>0</v>
      </c>
    </row>
    <row r="87" spans="1:18" ht="18.75" customHeight="1">
      <c r="A87" s="138"/>
      <c r="B87" s="345"/>
      <c r="C87" s="346"/>
      <c r="D87" s="145"/>
      <c r="E87" s="146"/>
      <c r="F87" s="30"/>
      <c r="G87" s="30"/>
      <c r="H87" s="372"/>
      <c r="I87" s="30"/>
      <c r="J87" s="30"/>
      <c r="K87" s="30"/>
      <c r="L87" s="30"/>
      <c r="M87" s="30"/>
      <c r="N87" s="30"/>
      <c r="O87" s="319"/>
      <c r="P87" s="142"/>
      <c r="Q87" s="319"/>
      <c r="R87" s="325">
        <f>SUM(F87:N87)</f>
        <v>0</v>
      </c>
    </row>
    <row r="88" spans="1:19" ht="18.75" customHeight="1" thickBot="1">
      <c r="A88" s="138"/>
      <c r="B88" s="344" t="str">
        <f>ROMAN(13,0)&amp;" ."</f>
        <v>XIII .</v>
      </c>
      <c r="C88" s="512" t="s">
        <v>261</v>
      </c>
      <c r="D88" s="512"/>
      <c r="E88" s="146"/>
      <c r="F88" s="152">
        <f>F85-M86</f>
        <v>2457061750</v>
      </c>
      <c r="G88" s="152">
        <f aca="true" t="shared" si="11" ref="G88:N88">G85-R86</f>
        <v>618060</v>
      </c>
      <c r="H88" s="377">
        <f t="shared" si="11"/>
        <v>-961819665</v>
      </c>
      <c r="I88" s="152">
        <f t="shared" si="11"/>
        <v>-1423563886</v>
      </c>
      <c r="J88" s="152">
        <f t="shared" si="11"/>
        <v>-836163370</v>
      </c>
      <c r="K88" s="152">
        <f t="shared" si="11"/>
        <v>-63123814</v>
      </c>
      <c r="L88" s="152">
        <f t="shared" si="11"/>
        <v>-364343155</v>
      </c>
      <c r="M88" s="152">
        <f t="shared" si="11"/>
        <v>0</v>
      </c>
      <c r="N88" s="152">
        <f t="shared" si="11"/>
        <v>0</v>
      </c>
      <c r="O88" s="347">
        <f>O85-X86</f>
        <v>-318612124</v>
      </c>
      <c r="P88" s="152">
        <f>P85-Y86</f>
        <v>1036079253</v>
      </c>
      <c r="Q88" s="348">
        <f>Q85-Z86</f>
        <v>-569587456</v>
      </c>
      <c r="R88" s="349">
        <f>SUM(F88:Q88)</f>
        <v>-1043454407</v>
      </c>
      <c r="S88" s="321">
        <f>+'손익계산서 (2018.12.31)'!J91</f>
        <v>-1043454407</v>
      </c>
    </row>
    <row r="89" spans="1:18" ht="4.5" customHeight="1" thickBot="1" thickTop="1">
      <c r="A89" s="134"/>
      <c r="B89" s="153"/>
      <c r="C89" s="154"/>
      <c r="D89" s="151"/>
      <c r="E89" s="155"/>
      <c r="F89" s="156"/>
      <c r="G89" s="156"/>
      <c r="H89" s="378"/>
      <c r="I89" s="156"/>
      <c r="J89" s="156"/>
      <c r="K89" s="156"/>
      <c r="L89" s="156"/>
      <c r="M89" s="316"/>
      <c r="N89" s="350"/>
      <c r="O89" s="350"/>
      <c r="P89" s="316"/>
      <c r="Q89" s="351"/>
      <c r="R89" s="317"/>
    </row>
    <row r="90" spans="1:18" ht="19.5" customHeight="1">
      <c r="A90" s="514"/>
      <c r="B90" s="514"/>
      <c r="C90" s="514"/>
      <c r="D90" s="514"/>
      <c r="E90" s="514"/>
      <c r="F90" s="514"/>
      <c r="G90" s="514"/>
      <c r="H90" s="514"/>
      <c r="I90" s="514"/>
      <c r="J90" s="514"/>
      <c r="K90" s="514"/>
      <c r="L90" s="514"/>
      <c r="M90" s="514"/>
      <c r="N90" s="514"/>
      <c r="O90" s="514"/>
      <c r="P90" s="514"/>
      <c r="Q90" s="514"/>
      <c r="R90" s="514"/>
    </row>
    <row r="91" spans="4:18" ht="19.5" customHeight="1">
      <c r="D91" s="28"/>
      <c r="E91" s="28"/>
      <c r="F91" s="319">
        <f>+'재무상태표-사이트별(2018.12.31)'!F89</f>
        <v>2457061750</v>
      </c>
      <c r="G91" s="319">
        <f>+'재무상태표-사이트별(2018.12.31)'!G89</f>
        <v>618060</v>
      </c>
      <c r="H91" s="379">
        <f>+'재무상태표-사이트별(2018.12.31)'!H89</f>
        <v>-961819665</v>
      </c>
      <c r="I91" s="319">
        <f>+'재무상태표-사이트별(2018.12.31)'!I89</f>
        <v>-1423563886</v>
      </c>
      <c r="J91" s="319">
        <f>+'재무상태표-사이트별(2018.12.31)'!J89</f>
        <v>-836163370</v>
      </c>
      <c r="K91" s="319">
        <f>+'재무상태표-사이트별(2018.12.31)'!K89</f>
        <v>-63123814</v>
      </c>
      <c r="L91" s="319">
        <f>+'재무상태표-사이트별(2018.12.31)'!L89</f>
        <v>-364343155</v>
      </c>
      <c r="M91" s="319">
        <f>+'재무상태표-사이트별(2018.12.31)'!M89</f>
        <v>0</v>
      </c>
      <c r="N91" s="319">
        <f>+'재무상태표-사이트별(2018.12.31)'!N89</f>
        <v>0</v>
      </c>
      <c r="O91" s="319">
        <f>+'재무상태표-사이트별(2018.12.31)'!O89</f>
        <v>-318612124</v>
      </c>
      <c r="P91" s="319">
        <f>+'재무상태표-사이트별(2018.12.31)'!P89</f>
        <v>1036079253</v>
      </c>
      <c r="Q91" s="319">
        <f>+'재무상태표-사이트별(2018.12.31)'!Q89</f>
        <v>-569587456</v>
      </c>
      <c r="R91" s="314">
        <f>SUM(F91:Q91)</f>
        <v>-1043454407</v>
      </c>
    </row>
    <row r="92" spans="4:18" ht="19.5" customHeight="1" thickBot="1">
      <c r="D92" s="28"/>
      <c r="E92" s="28"/>
      <c r="F92" s="320">
        <f>F88-F91</f>
        <v>0</v>
      </c>
      <c r="G92" s="320">
        <f aca="true" t="shared" si="12" ref="G92:M92">G88-G91</f>
        <v>0</v>
      </c>
      <c r="H92" s="380">
        <f t="shared" si="12"/>
        <v>0</v>
      </c>
      <c r="I92" s="320">
        <f t="shared" si="12"/>
        <v>0</v>
      </c>
      <c r="J92" s="320">
        <f t="shared" si="12"/>
        <v>0</v>
      </c>
      <c r="K92" s="320">
        <f t="shared" si="12"/>
        <v>0</v>
      </c>
      <c r="L92" s="320">
        <f t="shared" si="12"/>
        <v>0</v>
      </c>
      <c r="M92" s="320">
        <f t="shared" si="12"/>
        <v>0</v>
      </c>
      <c r="N92" s="320">
        <f>N88-N91</f>
        <v>0</v>
      </c>
      <c r="O92" s="320">
        <f>O88-O91</f>
        <v>0</v>
      </c>
      <c r="P92" s="320">
        <f>P88-P91</f>
        <v>0</v>
      </c>
      <c r="Q92" s="320">
        <f>Q88-Q91</f>
        <v>0</v>
      </c>
      <c r="R92" s="315">
        <f>SUM(F92:Q92)</f>
        <v>0</v>
      </c>
    </row>
    <row r="93" ht="19.5" customHeight="1" thickTop="1"/>
    <row r="95" ht="6.75" customHeight="1"/>
  </sheetData>
  <sheetProtection/>
  <mergeCells count="19">
    <mergeCell ref="A90:R90"/>
    <mergeCell ref="C82:D82"/>
    <mergeCell ref="C83:D83"/>
    <mergeCell ref="C84:D84"/>
    <mergeCell ref="C85:D85"/>
    <mergeCell ref="C86:D86"/>
    <mergeCell ref="C88:D88"/>
    <mergeCell ref="C28:D28"/>
    <mergeCell ref="C34:D34"/>
    <mergeCell ref="C36:D36"/>
    <mergeCell ref="C64:D64"/>
    <mergeCell ref="C66:D66"/>
    <mergeCell ref="C75:D75"/>
    <mergeCell ref="A1:R1"/>
    <mergeCell ref="A3:R3"/>
    <mergeCell ref="B6:D7"/>
    <mergeCell ref="F6:Q6"/>
    <mergeCell ref="R6:R7"/>
    <mergeCell ref="C9:D9"/>
  </mergeCells>
  <printOptions/>
  <pageMargins left="0.2755905511811024" right="0.2755905511811024" top="0.2362204724409449" bottom="0.19" header="0.15748031496062992" footer="0.16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5"/>
  <sheetViews>
    <sheetView zoomScale="120" zoomScaleNormal="120" zoomScalePageLayoutView="0" workbookViewId="0" topLeftCell="A1">
      <pane xSplit="5" ySplit="7" topLeftCell="F47" activePane="bottomRight" state="frozen"/>
      <selection pane="topLeft" activeCell="S93" sqref="S93"/>
      <selection pane="topRight" activeCell="S93" sqref="S93"/>
      <selection pane="bottomLeft" activeCell="S93" sqref="S93"/>
      <selection pane="bottomRight" activeCell="S93" sqref="S93"/>
    </sheetView>
  </sheetViews>
  <sheetFormatPr defaultColWidth="8.88671875" defaultRowHeight="19.5" customHeight="1"/>
  <cols>
    <col min="1" max="1" width="1.66796875" style="131" customWidth="1"/>
    <col min="2" max="2" width="3.99609375" style="131" customWidth="1"/>
    <col min="3" max="3" width="3.4453125" style="131" customWidth="1"/>
    <col min="4" max="4" width="18.21484375" style="131" customWidth="1"/>
    <col min="5" max="5" width="1.66796875" style="131" customWidth="1"/>
    <col min="6" max="9" width="15.10546875" style="131" customWidth="1"/>
    <col min="10" max="16384" width="8.88671875" style="131" customWidth="1"/>
  </cols>
  <sheetData>
    <row r="1" spans="1:9" ht="27" customHeight="1">
      <c r="A1" s="503" t="s">
        <v>127</v>
      </c>
      <c r="B1" s="503"/>
      <c r="C1" s="503"/>
      <c r="D1" s="503"/>
      <c r="E1" s="503"/>
      <c r="F1" s="503"/>
      <c r="G1" s="503"/>
      <c r="H1" s="503"/>
      <c r="I1" s="503"/>
    </row>
    <row r="2" spans="1:9" ht="7.5" customHeight="1">
      <c r="A2" s="132"/>
      <c r="B2" s="132"/>
      <c r="C2" s="132"/>
      <c r="D2" s="132"/>
      <c r="E2" s="132"/>
      <c r="F2" s="132"/>
      <c r="G2" s="132"/>
      <c r="H2" s="132"/>
      <c r="I2" s="132"/>
    </row>
    <row r="3" spans="1:9" ht="15" customHeight="1">
      <c r="A3" s="504" t="str">
        <f>+'손익계산서 (2018.12.31)'!A3:P3</f>
        <v>제 22 기 2018년 1월 1일부터   2018년  12월 31일 까지</v>
      </c>
      <c r="B3" s="504"/>
      <c r="C3" s="504"/>
      <c r="D3" s="504"/>
      <c r="E3" s="504"/>
      <c r="F3" s="504"/>
      <c r="G3" s="504"/>
      <c r="H3" s="504"/>
      <c r="I3" s="504"/>
    </row>
    <row r="4" spans="1:9" ht="15" customHeight="1">
      <c r="A4" s="504" t="str">
        <f>+'손익계산서 (2018.12.31)'!A4:P4</f>
        <v>제 21 기 2017년 1월 1일부터   2017년  12월 31일 까지</v>
      </c>
      <c r="B4" s="504"/>
      <c r="C4" s="504"/>
      <c r="D4" s="504"/>
      <c r="E4" s="504"/>
      <c r="F4" s="504"/>
      <c r="G4" s="504"/>
      <c r="H4" s="504"/>
      <c r="I4" s="504"/>
    </row>
    <row r="5" spans="1:9" ht="21" customHeight="1" thickBot="1">
      <c r="A5" s="161" t="s">
        <v>38</v>
      </c>
      <c r="B5" s="132"/>
      <c r="C5" s="132"/>
      <c r="D5" s="132"/>
      <c r="E5" s="132"/>
      <c r="F5" s="132"/>
      <c r="G5" s="132"/>
      <c r="H5" s="132"/>
      <c r="I5" s="160" t="s">
        <v>141</v>
      </c>
    </row>
    <row r="6" spans="1:9" s="189" customFormat="1" ht="19.5" customHeight="1">
      <c r="A6" s="195"/>
      <c r="B6" s="505" t="s">
        <v>75</v>
      </c>
      <c r="C6" s="505"/>
      <c r="D6" s="505"/>
      <c r="E6" s="196"/>
      <c r="F6" s="507" t="s">
        <v>273</v>
      </c>
      <c r="G6" s="508"/>
      <c r="H6" s="507" t="s">
        <v>274</v>
      </c>
      <c r="I6" s="518"/>
    </row>
    <row r="7" spans="1:9" s="189" customFormat="1" ht="19.5" customHeight="1" thickBot="1">
      <c r="A7" s="197"/>
      <c r="B7" s="506"/>
      <c r="C7" s="506"/>
      <c r="D7" s="506"/>
      <c r="E7" s="198"/>
      <c r="F7" s="515" t="s">
        <v>140</v>
      </c>
      <c r="G7" s="516"/>
      <c r="H7" s="515" t="s">
        <v>140</v>
      </c>
      <c r="I7" s="517"/>
    </row>
    <row r="8" spans="1:9" ht="14.25" customHeight="1">
      <c r="A8" s="133"/>
      <c r="B8" s="135"/>
      <c r="C8" s="135"/>
      <c r="D8" s="135"/>
      <c r="E8" s="136"/>
      <c r="F8" s="137"/>
      <c r="G8" s="137"/>
      <c r="H8" s="137"/>
      <c r="I8" s="158"/>
    </row>
    <row r="9" spans="1:9" ht="22.5" customHeight="1">
      <c r="A9" s="138"/>
      <c r="B9" s="139" t="s">
        <v>0</v>
      </c>
      <c r="C9" s="512" t="s">
        <v>128</v>
      </c>
      <c r="D9" s="512"/>
      <c r="E9" s="141"/>
      <c r="F9" s="30">
        <f>+'고유목적사업비명세서-사이트별(2018.12.31)'!R9</f>
        <v>0</v>
      </c>
      <c r="G9" s="142">
        <f>+F9</f>
        <v>0</v>
      </c>
      <c r="H9" s="142"/>
      <c r="I9" s="142"/>
    </row>
    <row r="10" spans="1:9" ht="16.5" customHeight="1">
      <c r="A10" s="138"/>
      <c r="B10" s="139"/>
      <c r="C10" s="140"/>
      <c r="D10" s="143"/>
      <c r="E10" s="141"/>
      <c r="F10" s="30"/>
      <c r="G10" s="30"/>
      <c r="H10" s="30"/>
      <c r="I10" s="30"/>
    </row>
    <row r="11" spans="1:9" ht="22.5" customHeight="1">
      <c r="A11" s="138"/>
      <c r="B11" s="139" t="s">
        <v>3</v>
      </c>
      <c r="C11" s="512" t="s">
        <v>129</v>
      </c>
      <c r="D11" s="512"/>
      <c r="E11" s="149"/>
      <c r="F11" s="142"/>
      <c r="G11" s="142">
        <f>SUM(F13:F16)</f>
        <v>9846262400</v>
      </c>
      <c r="H11" s="142"/>
      <c r="I11" s="142">
        <f>SUM(H13:H16)</f>
        <v>7963136286</v>
      </c>
    </row>
    <row r="12" spans="1:9" ht="17.25" customHeight="1">
      <c r="A12" s="138"/>
      <c r="B12" s="139"/>
      <c r="C12" s="140"/>
      <c r="D12" s="140"/>
      <c r="E12" s="149"/>
      <c r="F12" s="30"/>
      <c r="G12" s="30"/>
      <c r="H12" s="30"/>
      <c r="I12" s="30"/>
    </row>
    <row r="13" spans="1:9" ht="22.5" customHeight="1">
      <c r="A13" s="138"/>
      <c r="B13" s="144"/>
      <c r="C13" s="147">
        <v>1</v>
      </c>
      <c r="D13" s="145" t="s">
        <v>81</v>
      </c>
      <c r="E13" s="146"/>
      <c r="F13" s="30">
        <f>+'고유목적사업비명세서-사이트별(2018.12.31)'!R13</f>
        <v>8985497674</v>
      </c>
      <c r="G13" s="30"/>
      <c r="H13" s="369">
        <v>7196411434</v>
      </c>
      <c r="I13" s="30"/>
    </row>
    <row r="14" spans="1:9" ht="22.5" customHeight="1">
      <c r="A14" s="138"/>
      <c r="B14" s="144"/>
      <c r="C14" s="147">
        <f>+C13+1</f>
        <v>2</v>
      </c>
      <c r="D14" s="145" t="s">
        <v>137</v>
      </c>
      <c r="E14" s="146"/>
      <c r="F14" s="30">
        <f>+'고유목적사업비명세서-사이트별(2018.12.31)'!R14</f>
        <v>0</v>
      </c>
      <c r="G14" s="30"/>
      <c r="H14" s="369">
        <v>0</v>
      </c>
      <c r="I14" s="30"/>
    </row>
    <row r="15" spans="1:9" ht="22.5" customHeight="1">
      <c r="A15" s="138"/>
      <c r="B15" s="144"/>
      <c r="C15" s="147">
        <f>+C14+1</f>
        <v>3</v>
      </c>
      <c r="D15" s="145" t="s">
        <v>138</v>
      </c>
      <c r="E15" s="146"/>
      <c r="F15" s="30">
        <f>+'고유목적사업비명세서-사이트별(2018.12.31)'!R15</f>
        <v>830389578</v>
      </c>
      <c r="G15" s="30"/>
      <c r="H15" s="369">
        <v>742713940</v>
      </c>
      <c r="I15" s="30"/>
    </row>
    <row r="16" spans="1:9" ht="22.5" customHeight="1">
      <c r="A16" s="138"/>
      <c r="B16" s="144"/>
      <c r="C16" s="147">
        <v>4</v>
      </c>
      <c r="D16" s="145" t="s">
        <v>99</v>
      </c>
      <c r="E16" s="146"/>
      <c r="F16" s="30">
        <f>+'고유목적사업비명세서-사이트별(2018.12.31)'!R16</f>
        <v>30375148</v>
      </c>
      <c r="G16" s="30"/>
      <c r="H16" s="369">
        <v>24010912</v>
      </c>
      <c r="I16" s="30"/>
    </row>
    <row r="17" spans="1:9" s="28" customFormat="1" ht="15" customHeight="1">
      <c r="A17" s="138"/>
      <c r="B17" s="144"/>
      <c r="C17" s="148"/>
      <c r="D17" s="145"/>
      <c r="E17" s="146"/>
      <c r="F17" s="142"/>
      <c r="G17" s="142"/>
      <c r="H17" s="142"/>
      <c r="I17" s="142"/>
    </row>
    <row r="18" spans="1:9" ht="19.5" customHeight="1">
      <c r="A18" s="138"/>
      <c r="B18" s="139" t="s">
        <v>27</v>
      </c>
      <c r="C18" s="512" t="s">
        <v>130</v>
      </c>
      <c r="D18" s="512"/>
      <c r="E18" s="141"/>
      <c r="F18" s="142"/>
      <c r="G18" s="142">
        <f>SUM(F19:F46)</f>
        <v>32802788101</v>
      </c>
      <c r="H18" s="142"/>
      <c r="I18" s="142">
        <f>SUM(H19:H46)</f>
        <v>33221816584</v>
      </c>
    </row>
    <row r="19" spans="1:9" ht="19.5" customHeight="1">
      <c r="A19" s="138"/>
      <c r="B19" s="144"/>
      <c r="C19" s="147">
        <v>1</v>
      </c>
      <c r="D19" s="145" t="s">
        <v>20</v>
      </c>
      <c r="E19" s="146"/>
      <c r="F19" s="30">
        <f>+'고유목적사업비명세서-사이트별(2018.12.31)'!R20</f>
        <v>1245874445</v>
      </c>
      <c r="G19" s="30"/>
      <c r="H19" s="369">
        <v>875124788</v>
      </c>
      <c r="I19" s="30"/>
    </row>
    <row r="20" spans="1:9" ht="19.5" customHeight="1">
      <c r="A20" s="138"/>
      <c r="B20" s="144"/>
      <c r="C20" s="147">
        <f>+C19+1</f>
        <v>2</v>
      </c>
      <c r="D20" s="145" t="s">
        <v>22</v>
      </c>
      <c r="E20" s="146"/>
      <c r="F20" s="30">
        <f>+'고유목적사업비명세서-사이트별(2018.12.31)'!R21</f>
        <v>822505008</v>
      </c>
      <c r="G20" s="30"/>
      <c r="H20" s="369">
        <v>668904553</v>
      </c>
      <c r="I20" s="30"/>
    </row>
    <row r="21" spans="1:9" ht="19.5" customHeight="1">
      <c r="A21" s="138"/>
      <c r="B21" s="144"/>
      <c r="C21" s="147">
        <f aca="true" t="shared" si="0" ref="C21:C26">+C20+1</f>
        <v>3</v>
      </c>
      <c r="D21" s="145" t="s">
        <v>82</v>
      </c>
      <c r="E21" s="146"/>
      <c r="F21" s="30">
        <f>+'고유목적사업비명세서-사이트별(2018.12.31)'!R22</f>
        <v>22285319</v>
      </c>
      <c r="G21" s="30"/>
      <c r="H21" s="369">
        <v>26610794</v>
      </c>
      <c r="I21" s="30"/>
    </row>
    <row r="22" spans="1:9" ht="19.5" customHeight="1">
      <c r="A22" s="138"/>
      <c r="B22" s="144"/>
      <c r="C22" s="147">
        <f t="shared" si="0"/>
        <v>4</v>
      </c>
      <c r="D22" s="145" t="s">
        <v>83</v>
      </c>
      <c r="E22" s="146"/>
      <c r="F22" s="30">
        <f>+'고유목적사업비명세서-사이트별(2018.12.31)'!R23</f>
        <v>199140854</v>
      </c>
      <c r="G22" s="30"/>
      <c r="H22" s="369">
        <v>139523200</v>
      </c>
      <c r="I22" s="30"/>
    </row>
    <row r="23" spans="1:9" ht="19.5" customHeight="1">
      <c r="A23" s="138"/>
      <c r="B23" s="144"/>
      <c r="C23" s="147">
        <f t="shared" si="0"/>
        <v>5</v>
      </c>
      <c r="D23" s="145" t="s">
        <v>52</v>
      </c>
      <c r="E23" s="146"/>
      <c r="F23" s="30">
        <f>+'고유목적사업비명세서-사이트별(2018.12.31)'!R24</f>
        <v>1097307450</v>
      </c>
      <c r="G23" s="30"/>
      <c r="H23" s="369">
        <v>1031722568</v>
      </c>
      <c r="I23" s="30"/>
    </row>
    <row r="24" spans="1:9" ht="19.5" customHeight="1">
      <c r="A24" s="138"/>
      <c r="B24" s="144"/>
      <c r="C24" s="147">
        <f t="shared" si="0"/>
        <v>6</v>
      </c>
      <c r="D24" s="145" t="s">
        <v>19</v>
      </c>
      <c r="E24" s="146"/>
      <c r="F24" s="30">
        <f>+'고유목적사업비명세서-사이트별(2018.12.31)'!R25</f>
        <v>404509784</v>
      </c>
      <c r="G24" s="30"/>
      <c r="H24" s="369">
        <v>373195621</v>
      </c>
      <c r="I24" s="30"/>
    </row>
    <row r="25" spans="1:9" ht="19.5" customHeight="1">
      <c r="A25" s="138"/>
      <c r="B25" s="144"/>
      <c r="C25" s="147">
        <f t="shared" si="0"/>
        <v>7</v>
      </c>
      <c r="D25" s="145" t="s">
        <v>21</v>
      </c>
      <c r="E25" s="146"/>
      <c r="F25" s="30">
        <f>+'고유목적사업비명세서-사이트별(2018.12.31)'!R26</f>
        <v>194317481</v>
      </c>
      <c r="G25" s="30"/>
      <c r="H25" s="369">
        <v>180369433</v>
      </c>
      <c r="I25" s="30"/>
    </row>
    <row r="26" spans="1:9" ht="19.5" customHeight="1">
      <c r="A26" s="138"/>
      <c r="B26" s="144"/>
      <c r="C26" s="147">
        <f t="shared" si="0"/>
        <v>8</v>
      </c>
      <c r="D26" s="145" t="s">
        <v>70</v>
      </c>
      <c r="E26" s="146"/>
      <c r="F26" s="30">
        <f>+'고유목적사업비명세서-사이트별(2018.12.31)'!R27</f>
        <v>619318471</v>
      </c>
      <c r="G26" s="30"/>
      <c r="H26" s="369">
        <v>581961006</v>
      </c>
      <c r="I26" s="30"/>
    </row>
    <row r="27" spans="1:9" ht="19.5" customHeight="1">
      <c r="A27" s="138"/>
      <c r="B27" s="144"/>
      <c r="C27" s="147">
        <v>9</v>
      </c>
      <c r="D27" s="145" t="s">
        <v>142</v>
      </c>
      <c r="E27" s="146"/>
      <c r="F27" s="30"/>
      <c r="G27" s="30"/>
      <c r="H27" s="369"/>
      <c r="I27" s="30"/>
    </row>
    <row r="28" spans="1:9" ht="19.5" customHeight="1">
      <c r="A28" s="138"/>
      <c r="B28" s="144"/>
      <c r="C28" s="147">
        <v>10</v>
      </c>
      <c r="D28" s="145" t="s">
        <v>71</v>
      </c>
      <c r="E28" s="146"/>
      <c r="F28" s="30">
        <f>+'고유목적사업비명세서-사이트별(2018.12.31)'!R29</f>
        <v>134353485</v>
      </c>
      <c r="G28" s="30"/>
      <c r="H28" s="369">
        <v>75397443</v>
      </c>
      <c r="I28" s="30"/>
    </row>
    <row r="29" spans="1:9" ht="19.5" customHeight="1">
      <c r="A29" s="138"/>
      <c r="B29" s="144"/>
      <c r="C29" s="147">
        <v>11</v>
      </c>
      <c r="D29" s="145" t="s">
        <v>56</v>
      </c>
      <c r="E29" s="146"/>
      <c r="F29" s="30">
        <f>+'고유목적사업비명세서-사이트별(2018.12.31)'!R30</f>
        <v>14613075066</v>
      </c>
      <c r="G29" s="30"/>
      <c r="H29" s="369">
        <v>13630699103</v>
      </c>
      <c r="I29" s="30"/>
    </row>
    <row r="30" spans="1:9" ht="19.5" customHeight="1">
      <c r="A30" s="138"/>
      <c r="B30" s="144"/>
      <c r="C30" s="147">
        <v>12</v>
      </c>
      <c r="D30" s="145" t="s">
        <v>24</v>
      </c>
      <c r="E30" s="146"/>
      <c r="F30" s="30">
        <f>+'고유목적사업비명세서-사이트별(2018.12.31)'!R31</f>
        <v>12834510</v>
      </c>
      <c r="G30" s="30"/>
      <c r="H30" s="369">
        <v>17424600</v>
      </c>
      <c r="I30" s="30"/>
    </row>
    <row r="31" spans="1:9" ht="19.5" customHeight="1">
      <c r="A31" s="138"/>
      <c r="B31" s="144"/>
      <c r="C31" s="147">
        <v>13</v>
      </c>
      <c r="D31" s="145" t="s">
        <v>54</v>
      </c>
      <c r="E31" s="146"/>
      <c r="F31" s="30">
        <f>+'고유목적사업비명세서-사이트별(2018.12.31)'!R32</f>
        <v>1137776182</v>
      </c>
      <c r="G31" s="30"/>
      <c r="H31" s="369">
        <v>635256313</v>
      </c>
      <c r="I31" s="30"/>
    </row>
    <row r="32" spans="1:9" ht="19.5" customHeight="1">
      <c r="A32" s="138"/>
      <c r="B32" s="144"/>
      <c r="C32" s="147">
        <v>14</v>
      </c>
      <c r="D32" s="145" t="s">
        <v>100</v>
      </c>
      <c r="E32" s="146"/>
      <c r="F32" s="30">
        <f>+'고유목적사업비명세서-사이트별(2018.12.31)'!R33</f>
        <v>114771374</v>
      </c>
      <c r="G32" s="30"/>
      <c r="H32" s="369">
        <v>61759256</v>
      </c>
      <c r="I32" s="30"/>
    </row>
    <row r="33" spans="1:9" ht="19.5" customHeight="1">
      <c r="A33" s="138"/>
      <c r="B33" s="144"/>
      <c r="C33" s="147">
        <v>15</v>
      </c>
      <c r="D33" s="145" t="s">
        <v>26</v>
      </c>
      <c r="E33" s="146"/>
      <c r="F33" s="30">
        <f>+'고유목적사업비명세서-사이트별(2018.12.31)'!R34</f>
        <v>743564871</v>
      </c>
      <c r="G33" s="30"/>
      <c r="H33" s="369">
        <v>647292710</v>
      </c>
      <c r="I33" s="30"/>
    </row>
    <row r="34" spans="1:9" ht="19.5" customHeight="1">
      <c r="A34" s="138"/>
      <c r="B34" s="144"/>
      <c r="C34" s="147">
        <v>16</v>
      </c>
      <c r="D34" s="145" t="s">
        <v>84</v>
      </c>
      <c r="E34" s="146"/>
      <c r="F34" s="30">
        <f>+'고유목적사업비명세서-사이트별(2018.12.31)'!R35</f>
        <v>2290745753</v>
      </c>
      <c r="G34" s="30"/>
      <c r="H34" s="369">
        <v>1385928241</v>
      </c>
      <c r="I34" s="30"/>
    </row>
    <row r="35" spans="1:9" ht="19.5" customHeight="1">
      <c r="A35" s="138"/>
      <c r="B35" s="144"/>
      <c r="C35" s="147">
        <v>17</v>
      </c>
      <c r="D35" s="145" t="s">
        <v>53</v>
      </c>
      <c r="E35" s="146"/>
      <c r="F35" s="30">
        <f>+'고유목적사업비명세서-사이트별(2018.12.31)'!R36</f>
        <v>1421869524</v>
      </c>
      <c r="G35" s="30"/>
      <c r="H35" s="369">
        <v>1282702652</v>
      </c>
      <c r="I35" s="30"/>
    </row>
    <row r="36" spans="1:9" ht="19.5" customHeight="1">
      <c r="A36" s="138"/>
      <c r="B36" s="144"/>
      <c r="C36" s="147">
        <v>18</v>
      </c>
      <c r="D36" s="145" t="s">
        <v>55</v>
      </c>
      <c r="E36" s="146"/>
      <c r="F36" s="30">
        <f>+'고유목적사업비명세서-사이트별(2018.12.31)'!R37</f>
        <v>937843546</v>
      </c>
      <c r="G36" s="30"/>
      <c r="H36" s="369">
        <v>292358540</v>
      </c>
      <c r="I36" s="30"/>
    </row>
    <row r="37" spans="1:9" ht="19.5" customHeight="1">
      <c r="A37" s="138"/>
      <c r="B37" s="144"/>
      <c r="C37" s="147">
        <v>19</v>
      </c>
      <c r="D37" s="145" t="s">
        <v>438</v>
      </c>
      <c r="E37" s="146"/>
      <c r="F37" s="30">
        <f>+'고유목적사업비명세서-사이트별(2018.12.31)'!R38</f>
        <v>54385762</v>
      </c>
      <c r="G37" s="30"/>
      <c r="H37" s="369">
        <v>46074721</v>
      </c>
      <c r="I37" s="30"/>
    </row>
    <row r="38" spans="1:9" ht="19.5" customHeight="1">
      <c r="A38" s="138"/>
      <c r="B38" s="144"/>
      <c r="C38" s="147">
        <v>20</v>
      </c>
      <c r="D38" s="145" t="s">
        <v>23</v>
      </c>
      <c r="E38" s="146"/>
      <c r="F38" s="30">
        <f>+'고유목적사업비명세서-사이트별(2018.12.31)'!R39</f>
        <v>130897123</v>
      </c>
      <c r="G38" s="30"/>
      <c r="H38" s="369">
        <v>129575520</v>
      </c>
      <c r="I38" s="30"/>
    </row>
    <row r="39" spans="1:9" ht="19.5" customHeight="1">
      <c r="A39" s="138"/>
      <c r="B39" s="144"/>
      <c r="C39" s="147">
        <v>21</v>
      </c>
      <c r="D39" s="145" t="s">
        <v>94</v>
      </c>
      <c r="E39" s="146"/>
      <c r="F39" s="30">
        <f>+'고유목적사업비명세서-사이트별(2018.12.31)'!R40</f>
        <v>190278394</v>
      </c>
      <c r="G39" s="30"/>
      <c r="H39" s="369">
        <v>165717331</v>
      </c>
      <c r="I39" s="30"/>
    </row>
    <row r="40" spans="1:9" ht="19.5" customHeight="1">
      <c r="A40" s="138"/>
      <c r="B40" s="144"/>
      <c r="C40" s="147">
        <v>22</v>
      </c>
      <c r="D40" s="145" t="s">
        <v>103</v>
      </c>
      <c r="E40" s="146"/>
      <c r="F40" s="30"/>
      <c r="G40" s="30"/>
      <c r="H40" s="369"/>
      <c r="I40" s="30"/>
    </row>
    <row r="41" spans="1:9" ht="19.5" customHeight="1">
      <c r="A41" s="138"/>
      <c r="B41" s="144"/>
      <c r="C41" s="147">
        <v>23</v>
      </c>
      <c r="D41" s="145" t="s">
        <v>104</v>
      </c>
      <c r="E41" s="146"/>
      <c r="F41" s="30">
        <f>+'고유목적사업비명세서-사이트별(2018.12.31)'!R42</f>
        <v>3488308480</v>
      </c>
      <c r="G41" s="30"/>
      <c r="H41" s="369">
        <v>8602866417</v>
      </c>
      <c r="I41" s="30"/>
    </row>
    <row r="42" spans="1:9" ht="19.5" customHeight="1">
      <c r="A42" s="138"/>
      <c r="B42" s="144"/>
      <c r="C42" s="147">
        <v>24</v>
      </c>
      <c r="D42" s="145" t="s">
        <v>101</v>
      </c>
      <c r="E42" s="146"/>
      <c r="F42" s="30">
        <f>+'고유목적사업비명세서-사이트별(2018.12.31)'!R43</f>
        <v>507890937</v>
      </c>
      <c r="G42" s="30"/>
      <c r="H42" s="369">
        <v>483841523</v>
      </c>
      <c r="I42" s="30"/>
    </row>
    <row r="43" spans="1:9" ht="19.5" customHeight="1">
      <c r="A43" s="138"/>
      <c r="B43" s="144"/>
      <c r="C43" s="147">
        <v>25</v>
      </c>
      <c r="D43" s="145" t="s">
        <v>131</v>
      </c>
      <c r="E43" s="146"/>
      <c r="F43" s="30">
        <f>+'고유목적사업비명세서-사이트별(2018.12.31)'!R45</f>
        <v>22937134</v>
      </c>
      <c r="G43" s="30"/>
      <c r="H43" s="369">
        <v>32022461</v>
      </c>
      <c r="I43" s="30"/>
    </row>
    <row r="44" spans="1:9" ht="19.5" customHeight="1">
      <c r="A44" s="138"/>
      <c r="B44" s="144"/>
      <c r="C44" s="147">
        <v>26</v>
      </c>
      <c r="D44" s="145" t="s">
        <v>143</v>
      </c>
      <c r="E44" s="146"/>
      <c r="F44" s="30">
        <f>+'고유목적사업비명세서-사이트별(2018.12.31)'!R46</f>
        <v>2181017242</v>
      </c>
      <c r="G44" s="30"/>
      <c r="H44" s="369">
        <v>1654271241</v>
      </c>
      <c r="I44" s="30"/>
    </row>
    <row r="45" spans="1:9" ht="19.5" customHeight="1">
      <c r="A45" s="138"/>
      <c r="B45" s="144"/>
      <c r="C45" s="147">
        <v>27</v>
      </c>
      <c r="D45" s="145" t="s">
        <v>180</v>
      </c>
      <c r="E45" s="146"/>
      <c r="F45" s="30">
        <f>+'고유목적사업비명세서-사이트별(2018.12.31)'!R47</f>
        <v>214979906</v>
      </c>
      <c r="G45" s="30"/>
      <c r="H45" s="369">
        <v>201216549</v>
      </c>
      <c r="I45" s="30"/>
    </row>
    <row r="46" spans="1:9" ht="19.5" customHeight="1">
      <c r="A46" s="138"/>
      <c r="B46" s="144"/>
      <c r="C46" s="147">
        <v>28</v>
      </c>
      <c r="D46" s="145" t="s">
        <v>181</v>
      </c>
      <c r="E46" s="146"/>
      <c r="F46" s="30"/>
      <c r="G46" s="30"/>
      <c r="H46" s="369"/>
      <c r="I46" s="30"/>
    </row>
    <row r="47" spans="1:9" ht="14.25" customHeight="1">
      <c r="A47" s="138"/>
      <c r="B47" s="144"/>
      <c r="C47" s="148"/>
      <c r="D47" s="145"/>
      <c r="E47" s="146"/>
      <c r="F47" s="150"/>
      <c r="G47" s="150"/>
      <c r="H47" s="150"/>
      <c r="I47" s="150"/>
    </row>
    <row r="48" spans="1:9" ht="21.75" customHeight="1">
      <c r="A48" s="138"/>
      <c r="B48" s="139" t="s">
        <v>18</v>
      </c>
      <c r="C48" s="512" t="s">
        <v>132</v>
      </c>
      <c r="D48" s="512"/>
      <c r="E48" s="146"/>
      <c r="F48" s="142"/>
      <c r="G48" s="142">
        <f>+G9+G11+G18</f>
        <v>42649050501</v>
      </c>
      <c r="H48" s="142"/>
      <c r="I48" s="142">
        <f>+I9+I11+I18</f>
        <v>41184952870</v>
      </c>
    </row>
    <row r="49" spans="1:9" ht="21.75" customHeight="1">
      <c r="A49" s="138"/>
      <c r="B49" s="139" t="s">
        <v>25</v>
      </c>
      <c r="C49" s="512" t="s">
        <v>133</v>
      </c>
      <c r="D49" s="512"/>
      <c r="E49" s="146"/>
      <c r="F49" s="30"/>
      <c r="G49" s="30"/>
      <c r="H49" s="30"/>
      <c r="I49" s="30"/>
    </row>
    <row r="50" spans="1:9" ht="21.75" customHeight="1">
      <c r="A50" s="138"/>
      <c r="B50" s="139" t="s">
        <v>28</v>
      </c>
      <c r="C50" s="512" t="s">
        <v>61</v>
      </c>
      <c r="D50" s="512"/>
      <c r="E50" s="146"/>
      <c r="F50" s="142"/>
      <c r="G50" s="150">
        <f>+G48</f>
        <v>42649050501</v>
      </c>
      <c r="H50" s="142"/>
      <c r="I50" s="150">
        <f>+I48</f>
        <v>41184952870</v>
      </c>
    </row>
    <row r="51" spans="1:9" ht="21.75" customHeight="1">
      <c r="A51" s="138"/>
      <c r="B51" s="139" t="s">
        <v>29</v>
      </c>
      <c r="C51" s="512" t="s">
        <v>134</v>
      </c>
      <c r="D51" s="512"/>
      <c r="E51" s="146"/>
      <c r="F51" s="142"/>
      <c r="G51" s="142"/>
      <c r="H51" s="142"/>
      <c r="I51" s="142"/>
    </row>
    <row r="52" spans="1:9" ht="21.75" customHeight="1">
      <c r="A52" s="138"/>
      <c r="B52" s="139" t="s">
        <v>50</v>
      </c>
      <c r="C52" s="512" t="s">
        <v>135</v>
      </c>
      <c r="D52" s="512"/>
      <c r="E52" s="146"/>
      <c r="F52" s="142"/>
      <c r="G52" s="30"/>
      <c r="H52" s="142"/>
      <c r="I52" s="30"/>
    </row>
    <row r="53" spans="1:9" ht="21.75" customHeight="1" thickBot="1">
      <c r="A53" s="138"/>
      <c r="B53" s="139" t="s">
        <v>51</v>
      </c>
      <c r="C53" s="512" t="s">
        <v>136</v>
      </c>
      <c r="D53" s="512"/>
      <c r="E53" s="146"/>
      <c r="F53" s="157"/>
      <c r="G53" s="152">
        <f>+G50</f>
        <v>42649050501</v>
      </c>
      <c r="H53" s="157"/>
      <c r="I53" s="152">
        <f>+I50</f>
        <v>41184952870</v>
      </c>
    </row>
    <row r="54" spans="1:9" ht="9" customHeight="1" thickBot="1" thickTop="1">
      <c r="A54" s="134"/>
      <c r="B54" s="153"/>
      <c r="C54" s="154"/>
      <c r="D54" s="151"/>
      <c r="E54" s="155"/>
      <c r="F54" s="156"/>
      <c r="G54" s="156"/>
      <c r="H54" s="156"/>
      <c r="I54" s="159"/>
    </row>
    <row r="55" spans="1:9" ht="19.5" customHeight="1">
      <c r="A55" s="514"/>
      <c r="B55" s="514"/>
      <c r="C55" s="514"/>
      <c r="D55" s="514"/>
      <c r="E55" s="514"/>
      <c r="F55" s="514"/>
      <c r="G55" s="514"/>
      <c r="H55" s="514"/>
      <c r="I55" s="514"/>
    </row>
    <row r="58" ht="6.75" customHeight="1"/>
  </sheetData>
  <sheetProtection/>
  <mergeCells count="18">
    <mergeCell ref="C51:D51"/>
    <mergeCell ref="C52:D52"/>
    <mergeCell ref="C53:D53"/>
    <mergeCell ref="A55:I55"/>
    <mergeCell ref="A1:I1"/>
    <mergeCell ref="A3:I3"/>
    <mergeCell ref="A4:I4"/>
    <mergeCell ref="B6:D7"/>
    <mergeCell ref="F6:G6"/>
    <mergeCell ref="H6:I6"/>
    <mergeCell ref="F7:G7"/>
    <mergeCell ref="H7:I7"/>
    <mergeCell ref="C48:D48"/>
    <mergeCell ref="C49:D49"/>
    <mergeCell ref="C50:D50"/>
    <mergeCell ref="C9:D9"/>
    <mergeCell ref="C11:D11"/>
    <mergeCell ref="C18:D18"/>
  </mergeCells>
  <printOptions horizontalCentered="1"/>
  <pageMargins left="0.7480314960629921" right="0.69" top="0.24" bottom="0.4330708661417323" header="0.17" footer="0.2755905511811024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0"/>
  <sheetViews>
    <sheetView zoomScale="110" zoomScaleNormal="110" zoomScalePageLayoutView="0" workbookViewId="0" topLeftCell="A1">
      <pane xSplit="5" ySplit="7" topLeftCell="Q52" activePane="bottomRight" state="frozen"/>
      <selection pane="topLeft" activeCell="S93" sqref="S93"/>
      <selection pane="topRight" activeCell="S93" sqref="S93"/>
      <selection pane="bottomLeft" activeCell="S93" sqref="S93"/>
      <selection pane="bottomRight" activeCell="S93" sqref="S93"/>
    </sheetView>
  </sheetViews>
  <sheetFormatPr defaultColWidth="8.88671875" defaultRowHeight="19.5" customHeight="1"/>
  <cols>
    <col min="1" max="1" width="1.66796875" style="131" customWidth="1"/>
    <col min="2" max="2" width="3.99609375" style="131" customWidth="1"/>
    <col min="3" max="3" width="2.3359375" style="131" customWidth="1"/>
    <col min="4" max="4" width="16.88671875" style="131" customWidth="1"/>
    <col min="5" max="5" width="1.66796875" style="131" customWidth="1"/>
    <col min="6" max="6" width="15.10546875" style="131" customWidth="1"/>
    <col min="7" max="7" width="12.6640625" style="131" customWidth="1"/>
    <col min="8" max="18" width="15.10546875" style="131" customWidth="1"/>
    <col min="19" max="16384" width="8.88671875" style="131" customWidth="1"/>
  </cols>
  <sheetData>
    <row r="1" spans="1:18" ht="27" customHeight="1">
      <c r="A1" s="503" t="s">
        <v>127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</row>
    <row r="2" spans="1:18" ht="7.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1:18" ht="15" customHeight="1">
      <c r="A3" s="504" t="s">
        <v>415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</row>
    <row r="4" spans="1:18" ht="15" customHeight="1">
      <c r="A4" s="292"/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3"/>
      <c r="N4" s="293"/>
      <c r="O4" s="293"/>
      <c r="P4" s="293"/>
      <c r="Q4" s="293"/>
      <c r="R4" s="294"/>
    </row>
    <row r="5" spans="1:18" ht="21" customHeight="1" thickBot="1">
      <c r="A5" s="295" t="s">
        <v>38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296" t="s">
        <v>30</v>
      </c>
    </row>
    <row r="6" spans="1:18" s="189" customFormat="1" ht="19.5" customHeight="1">
      <c r="A6" s="195"/>
      <c r="B6" s="505" t="s">
        <v>75</v>
      </c>
      <c r="C6" s="505"/>
      <c r="D6" s="505"/>
      <c r="E6" s="196"/>
      <c r="F6" s="507" t="s">
        <v>273</v>
      </c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  <c r="R6" s="519" t="s">
        <v>234</v>
      </c>
    </row>
    <row r="7" spans="1:18" s="189" customFormat="1" ht="19.5" customHeight="1" thickBot="1">
      <c r="A7" s="197"/>
      <c r="B7" s="506"/>
      <c r="C7" s="506"/>
      <c r="D7" s="506"/>
      <c r="E7" s="198"/>
      <c r="F7" s="297" t="s">
        <v>201</v>
      </c>
      <c r="G7" s="297" t="s">
        <v>202</v>
      </c>
      <c r="H7" s="297" t="s">
        <v>235</v>
      </c>
      <c r="I7" s="297" t="s">
        <v>236</v>
      </c>
      <c r="J7" s="297" t="s">
        <v>237</v>
      </c>
      <c r="K7" s="297" t="s">
        <v>238</v>
      </c>
      <c r="L7" s="297" t="s">
        <v>239</v>
      </c>
      <c r="M7" s="297" t="s">
        <v>240</v>
      </c>
      <c r="N7" s="297" t="s">
        <v>241</v>
      </c>
      <c r="O7" s="297" t="s">
        <v>210</v>
      </c>
      <c r="P7" s="297" t="s">
        <v>211</v>
      </c>
      <c r="Q7" s="297" t="s">
        <v>212</v>
      </c>
      <c r="R7" s="520"/>
    </row>
    <row r="8" spans="1:18" ht="13.5" customHeight="1">
      <c r="A8" s="133"/>
      <c r="B8" s="135"/>
      <c r="C8" s="135"/>
      <c r="D8" s="135"/>
      <c r="E8" s="136"/>
      <c r="F8" s="137"/>
      <c r="G8" s="137"/>
      <c r="H8" s="137"/>
      <c r="I8" s="137"/>
      <c r="J8" s="137"/>
      <c r="K8" s="137"/>
      <c r="L8" s="137"/>
      <c r="M8" s="298"/>
      <c r="N8" s="298"/>
      <c r="O8" s="298"/>
      <c r="P8" s="298"/>
      <c r="Q8" s="298"/>
      <c r="R8" s="299"/>
    </row>
    <row r="9" spans="1:18" ht="20.25" customHeight="1">
      <c r="A9" s="138"/>
      <c r="B9" s="139" t="s">
        <v>0</v>
      </c>
      <c r="C9" s="512" t="s">
        <v>128</v>
      </c>
      <c r="D9" s="512"/>
      <c r="E9" s="141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300">
        <f>SUM(F9:Q9)</f>
        <v>0</v>
      </c>
    </row>
    <row r="10" spans="1:18" ht="8.25" customHeight="1">
      <c r="A10" s="138"/>
      <c r="B10" s="139"/>
      <c r="C10" s="140"/>
      <c r="D10" s="143"/>
      <c r="E10" s="141"/>
      <c r="F10" s="30"/>
      <c r="G10" s="30"/>
      <c r="H10" s="30"/>
      <c r="I10" s="30"/>
      <c r="J10" s="30"/>
      <c r="K10" s="30"/>
      <c r="L10" s="30"/>
      <c r="M10" s="30"/>
      <c r="N10" s="142"/>
      <c r="O10" s="142"/>
      <c r="P10" s="142"/>
      <c r="Q10" s="142"/>
      <c r="R10" s="300"/>
    </row>
    <row r="11" spans="1:18" ht="20.25" customHeight="1">
      <c r="A11" s="138"/>
      <c r="B11" s="139" t="s">
        <v>3</v>
      </c>
      <c r="C11" s="512" t="s">
        <v>129</v>
      </c>
      <c r="D11" s="512"/>
      <c r="E11" s="149"/>
      <c r="F11" s="142">
        <f>SUM(F13:F16)</f>
        <v>2109708782</v>
      </c>
      <c r="G11" s="142">
        <f aca="true" t="shared" si="0" ref="G11:N11">SUM(G13:G16)</f>
        <v>0</v>
      </c>
      <c r="H11" s="142">
        <f t="shared" si="0"/>
        <v>1213119941</v>
      </c>
      <c r="I11" s="142">
        <f t="shared" si="0"/>
        <v>1162674811</v>
      </c>
      <c r="J11" s="142">
        <f t="shared" si="0"/>
        <v>1049636689</v>
      </c>
      <c r="K11" s="142">
        <f t="shared" si="0"/>
        <v>646493580</v>
      </c>
      <c r="L11" s="142">
        <f t="shared" si="0"/>
        <v>960758037</v>
      </c>
      <c r="M11" s="142">
        <f t="shared" si="0"/>
        <v>0</v>
      </c>
      <c r="N11" s="142">
        <f t="shared" si="0"/>
        <v>0</v>
      </c>
      <c r="O11" s="142">
        <f>SUM(O13:O16)</f>
        <v>956175693</v>
      </c>
      <c r="P11" s="142">
        <f>SUM(P13:P16)</f>
        <v>883339414</v>
      </c>
      <c r="Q11" s="142">
        <f>SUM(Q13:Q16)</f>
        <v>864355453</v>
      </c>
      <c r="R11" s="300">
        <f>SUM(F11:Q11)</f>
        <v>9846262400</v>
      </c>
    </row>
    <row r="12" spans="1:18" ht="9.75" customHeight="1">
      <c r="A12" s="138"/>
      <c r="B12" s="139"/>
      <c r="C12" s="140"/>
      <c r="D12" s="140"/>
      <c r="E12" s="149"/>
      <c r="F12" s="30"/>
      <c r="G12" s="30"/>
      <c r="H12" s="30"/>
      <c r="I12" s="30"/>
      <c r="J12" s="30"/>
      <c r="K12" s="30"/>
      <c r="L12" s="30"/>
      <c r="M12" s="30"/>
      <c r="N12" s="142"/>
      <c r="O12" s="142"/>
      <c r="P12" s="142"/>
      <c r="Q12" s="142"/>
      <c r="R12" s="300"/>
    </row>
    <row r="13" spans="1:18" ht="20.25" customHeight="1">
      <c r="A13" s="138"/>
      <c r="B13" s="144"/>
      <c r="C13" s="301"/>
      <c r="D13" s="145" t="s">
        <v>81</v>
      </c>
      <c r="E13" s="146"/>
      <c r="F13" s="30">
        <v>1418482917</v>
      </c>
      <c r="G13" s="30"/>
      <c r="H13" s="30">
        <v>1048802257</v>
      </c>
      <c r="I13" s="30">
        <v>1269769082</v>
      </c>
      <c r="J13" s="30">
        <v>1042715705</v>
      </c>
      <c r="K13" s="30">
        <v>600371646</v>
      </c>
      <c r="L13" s="30">
        <v>899883387</v>
      </c>
      <c r="M13" s="30"/>
      <c r="N13" s="142"/>
      <c r="O13" s="142">
        <v>870989023</v>
      </c>
      <c r="P13" s="142">
        <v>970500154</v>
      </c>
      <c r="Q13" s="142">
        <v>863983503</v>
      </c>
      <c r="R13" s="300">
        <f>SUM(F13:Q13)</f>
        <v>8985497674</v>
      </c>
    </row>
    <row r="14" spans="1:18" ht="20.25" customHeight="1" hidden="1">
      <c r="A14" s="138"/>
      <c r="B14" s="144"/>
      <c r="C14" s="301"/>
      <c r="D14" s="145" t="s">
        <v>137</v>
      </c>
      <c r="E14" s="146"/>
      <c r="F14" s="30"/>
      <c r="G14" s="30"/>
      <c r="H14" s="30"/>
      <c r="I14" s="30"/>
      <c r="J14" s="30"/>
      <c r="K14" s="30"/>
      <c r="L14" s="30"/>
      <c r="M14" s="30"/>
      <c r="N14" s="142"/>
      <c r="O14" s="142"/>
      <c r="P14" s="142"/>
      <c r="Q14" s="142"/>
      <c r="R14" s="300">
        <f>SUM(F14:Q14)</f>
        <v>0</v>
      </c>
    </row>
    <row r="15" spans="1:18" ht="20.25" customHeight="1">
      <c r="A15" s="138"/>
      <c r="B15" s="144"/>
      <c r="C15" s="301"/>
      <c r="D15" s="145" t="s">
        <v>138</v>
      </c>
      <c r="E15" s="146"/>
      <c r="F15" s="30">
        <v>680007250</v>
      </c>
      <c r="G15" s="30"/>
      <c r="H15" s="30">
        <v>155603742</v>
      </c>
      <c r="I15" s="30">
        <v>-108632324</v>
      </c>
      <c r="J15" s="30">
        <v>2786060</v>
      </c>
      <c r="K15" s="30">
        <v>41352320</v>
      </c>
      <c r="L15" s="30">
        <v>60874650</v>
      </c>
      <c r="M15" s="30"/>
      <c r="N15" s="142"/>
      <c r="O15" s="142">
        <v>85186670</v>
      </c>
      <c r="P15" s="142">
        <v>-87160740</v>
      </c>
      <c r="Q15" s="142">
        <v>371950</v>
      </c>
      <c r="R15" s="300">
        <f>SUM(F15:Q15)</f>
        <v>830389578</v>
      </c>
    </row>
    <row r="16" spans="1:18" ht="20.25" customHeight="1">
      <c r="A16" s="138"/>
      <c r="B16" s="144"/>
      <c r="C16" s="301"/>
      <c r="D16" s="145" t="s">
        <v>99</v>
      </c>
      <c r="E16" s="146"/>
      <c r="F16" s="30">
        <v>11218615</v>
      </c>
      <c r="G16" s="30"/>
      <c r="H16" s="30">
        <v>8713942</v>
      </c>
      <c r="I16" s="30">
        <v>1538053</v>
      </c>
      <c r="J16" s="30">
        <v>4134924</v>
      </c>
      <c r="K16" s="30">
        <v>4769614</v>
      </c>
      <c r="L16" s="30"/>
      <c r="M16" s="30"/>
      <c r="N16" s="142"/>
      <c r="O16" s="142"/>
      <c r="P16" s="142"/>
      <c r="Q16" s="142"/>
      <c r="R16" s="300">
        <f>SUM(F16:Q16)</f>
        <v>30375148</v>
      </c>
    </row>
    <row r="17" spans="1:18" s="28" customFormat="1" ht="6.75" customHeight="1">
      <c r="A17" s="138"/>
      <c r="B17" s="144"/>
      <c r="C17" s="148"/>
      <c r="D17" s="145"/>
      <c r="E17" s="146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300"/>
    </row>
    <row r="18" spans="1:18" ht="20.25" customHeight="1">
      <c r="A18" s="138"/>
      <c r="B18" s="139" t="s">
        <v>27</v>
      </c>
      <c r="C18" s="512" t="s">
        <v>130</v>
      </c>
      <c r="D18" s="512"/>
      <c r="E18" s="141"/>
      <c r="F18" s="142">
        <f>SUM(F20:F48)</f>
        <v>12781281436</v>
      </c>
      <c r="G18" s="142">
        <f aca="true" t="shared" si="1" ref="G18:Q18">SUM(G20:G48)</f>
        <v>0</v>
      </c>
      <c r="H18" s="142">
        <f t="shared" si="1"/>
        <v>1384026010</v>
      </c>
      <c r="I18" s="142">
        <f t="shared" si="1"/>
        <v>4244242240</v>
      </c>
      <c r="J18" s="142">
        <f t="shared" si="1"/>
        <v>2986018045</v>
      </c>
      <c r="K18" s="142">
        <f t="shared" si="1"/>
        <v>1889185154</v>
      </c>
      <c r="L18" s="142">
        <f t="shared" si="1"/>
        <v>2569993086</v>
      </c>
      <c r="M18" s="142">
        <f t="shared" si="1"/>
        <v>0</v>
      </c>
      <c r="N18" s="142">
        <f t="shared" si="1"/>
        <v>0</v>
      </c>
      <c r="O18" s="142">
        <f t="shared" si="1"/>
        <v>1911984173</v>
      </c>
      <c r="P18" s="142">
        <f t="shared" si="1"/>
        <v>2426402987</v>
      </c>
      <c r="Q18" s="142">
        <f t="shared" si="1"/>
        <v>2609654970</v>
      </c>
      <c r="R18" s="300">
        <f>SUM(F18:Q18)</f>
        <v>32802788101</v>
      </c>
    </row>
    <row r="19" spans="1:18" ht="7.5" customHeight="1">
      <c r="A19" s="138"/>
      <c r="B19" s="139"/>
      <c r="C19" s="140"/>
      <c r="D19" s="140"/>
      <c r="E19" s="141"/>
      <c r="F19" s="30"/>
      <c r="G19" s="30"/>
      <c r="H19" s="30"/>
      <c r="I19" s="30"/>
      <c r="J19" s="30"/>
      <c r="K19" s="30"/>
      <c r="L19" s="30"/>
      <c r="M19" s="30"/>
      <c r="N19" s="142"/>
      <c r="O19" s="142"/>
      <c r="P19" s="142"/>
      <c r="Q19" s="142"/>
      <c r="R19" s="300"/>
    </row>
    <row r="20" spans="1:18" ht="20.25" customHeight="1">
      <c r="A20" s="138"/>
      <c r="B20" s="144"/>
      <c r="C20" s="147"/>
      <c r="D20" s="145" t="s">
        <v>20</v>
      </c>
      <c r="E20" s="146"/>
      <c r="F20" s="30">
        <v>213934892</v>
      </c>
      <c r="G20" s="30"/>
      <c r="H20" s="30">
        <v>119269426</v>
      </c>
      <c r="I20" s="30">
        <v>177811710</v>
      </c>
      <c r="J20" s="30">
        <v>152827601</v>
      </c>
      <c r="K20" s="30">
        <v>79009690</v>
      </c>
      <c r="L20" s="30">
        <v>133610154</v>
      </c>
      <c r="M20" s="30"/>
      <c r="N20" s="142"/>
      <c r="O20" s="142">
        <v>111348770</v>
      </c>
      <c r="P20" s="142">
        <v>120818283</v>
      </c>
      <c r="Q20" s="142">
        <v>137243919</v>
      </c>
      <c r="R20" s="300">
        <f aca="true" t="shared" si="2" ref="R20:R27">SUM(F20:Q20)</f>
        <v>1245874445</v>
      </c>
    </row>
    <row r="21" spans="1:18" ht="20.25" customHeight="1">
      <c r="A21" s="138"/>
      <c r="B21" s="144"/>
      <c r="C21" s="147"/>
      <c r="D21" s="145" t="s">
        <v>22</v>
      </c>
      <c r="E21" s="146"/>
      <c r="F21" s="30">
        <v>273749477</v>
      </c>
      <c r="G21" s="30"/>
      <c r="H21" s="30">
        <v>40305960</v>
      </c>
      <c r="I21" s="30">
        <v>46342600</v>
      </c>
      <c r="J21" s="30">
        <v>96347807</v>
      </c>
      <c r="K21" s="30">
        <v>76217115</v>
      </c>
      <c r="L21" s="30">
        <v>74332517</v>
      </c>
      <c r="M21" s="30"/>
      <c r="N21" s="142"/>
      <c r="O21" s="142">
        <v>87763524</v>
      </c>
      <c r="P21" s="142">
        <v>24576303</v>
      </c>
      <c r="Q21" s="142">
        <v>102869705</v>
      </c>
      <c r="R21" s="300">
        <f t="shared" si="2"/>
        <v>822505008</v>
      </c>
    </row>
    <row r="22" spans="1:18" ht="20.25" customHeight="1">
      <c r="A22" s="138"/>
      <c r="B22" s="144"/>
      <c r="C22" s="147"/>
      <c r="D22" s="145" t="s">
        <v>82</v>
      </c>
      <c r="E22" s="146"/>
      <c r="F22" s="30"/>
      <c r="G22" s="30"/>
      <c r="H22" s="30"/>
      <c r="I22" s="30">
        <v>6527680</v>
      </c>
      <c r="J22" s="30">
        <v>5020310</v>
      </c>
      <c r="K22" s="30">
        <v>550000</v>
      </c>
      <c r="L22" s="30">
        <v>3654609</v>
      </c>
      <c r="M22" s="30"/>
      <c r="N22" s="142"/>
      <c r="O22" s="142">
        <v>1434600</v>
      </c>
      <c r="P22" s="142">
        <v>2415300</v>
      </c>
      <c r="Q22" s="142">
        <v>2682820</v>
      </c>
      <c r="R22" s="300">
        <f t="shared" si="2"/>
        <v>22285319</v>
      </c>
    </row>
    <row r="23" spans="1:18" ht="20.25" customHeight="1">
      <c r="A23" s="138"/>
      <c r="B23" s="144"/>
      <c r="C23" s="147"/>
      <c r="D23" s="145" t="s">
        <v>83</v>
      </c>
      <c r="E23" s="146"/>
      <c r="F23" s="30">
        <v>61315538</v>
      </c>
      <c r="G23" s="30"/>
      <c r="H23" s="30">
        <v>2878420</v>
      </c>
      <c r="I23" s="30">
        <v>15816708</v>
      </c>
      <c r="J23" s="30">
        <v>25715980</v>
      </c>
      <c r="K23" s="30">
        <v>20679570</v>
      </c>
      <c r="L23" s="30">
        <v>23827241</v>
      </c>
      <c r="M23" s="30"/>
      <c r="N23" s="142"/>
      <c r="O23" s="142">
        <v>18254520</v>
      </c>
      <c r="P23" s="142">
        <v>17341207</v>
      </c>
      <c r="Q23" s="142">
        <v>13311670</v>
      </c>
      <c r="R23" s="300">
        <f t="shared" si="2"/>
        <v>199140854</v>
      </c>
    </row>
    <row r="24" spans="1:18" ht="20.25" customHeight="1">
      <c r="A24" s="138"/>
      <c r="B24" s="144"/>
      <c r="C24" s="147"/>
      <c r="D24" s="145" t="s">
        <v>52</v>
      </c>
      <c r="E24" s="146"/>
      <c r="F24" s="30">
        <v>8458185</v>
      </c>
      <c r="G24" s="30"/>
      <c r="H24" s="30">
        <v>2445480</v>
      </c>
      <c r="I24" s="30">
        <v>253500334</v>
      </c>
      <c r="J24" s="30">
        <v>131717801</v>
      </c>
      <c r="K24" s="30">
        <v>160257126</v>
      </c>
      <c r="L24" s="30">
        <v>144580791</v>
      </c>
      <c r="M24" s="30"/>
      <c r="N24" s="142"/>
      <c r="O24" s="142">
        <v>55155620</v>
      </c>
      <c r="P24" s="142">
        <v>208653973</v>
      </c>
      <c r="Q24" s="142">
        <v>132538140</v>
      </c>
      <c r="R24" s="300">
        <f t="shared" si="2"/>
        <v>1097307450</v>
      </c>
    </row>
    <row r="25" spans="1:18" s="310" customFormat="1" ht="20.25" customHeight="1">
      <c r="A25" s="302"/>
      <c r="B25" s="303"/>
      <c r="C25" s="304"/>
      <c r="D25" s="305" t="s">
        <v>19</v>
      </c>
      <c r="E25" s="306"/>
      <c r="F25" s="307">
        <v>5000000</v>
      </c>
      <c r="G25" s="307"/>
      <c r="H25" s="307"/>
      <c r="I25" s="307">
        <v>207860345</v>
      </c>
      <c r="J25" s="307">
        <v>40298608</v>
      </c>
      <c r="K25" s="307">
        <v>1719940</v>
      </c>
      <c r="L25" s="307">
        <v>49034048</v>
      </c>
      <c r="M25" s="307"/>
      <c r="N25" s="308"/>
      <c r="O25" s="308">
        <v>1401180</v>
      </c>
      <c r="P25" s="308">
        <v>96435963</v>
      </c>
      <c r="Q25" s="308">
        <v>2759700</v>
      </c>
      <c r="R25" s="309">
        <f t="shared" si="2"/>
        <v>404509784</v>
      </c>
    </row>
    <row r="26" spans="1:18" s="419" customFormat="1" ht="20.25" customHeight="1">
      <c r="A26" s="409"/>
      <c r="B26" s="410"/>
      <c r="C26" s="425"/>
      <c r="D26" s="412" t="s">
        <v>21</v>
      </c>
      <c r="E26" s="413"/>
      <c r="F26" s="414"/>
      <c r="G26" s="414"/>
      <c r="H26" s="414">
        <v>3156142</v>
      </c>
      <c r="I26" s="414">
        <v>55000456</v>
      </c>
      <c r="J26" s="414">
        <v>25835098</v>
      </c>
      <c r="K26" s="414">
        <v>5889435</v>
      </c>
      <c r="L26" s="414">
        <v>12999243</v>
      </c>
      <c r="M26" s="414"/>
      <c r="N26" s="417"/>
      <c r="O26" s="417">
        <v>20648420</v>
      </c>
      <c r="P26" s="417">
        <v>22534810</v>
      </c>
      <c r="Q26" s="417">
        <v>48253877</v>
      </c>
      <c r="R26" s="426">
        <f t="shared" si="2"/>
        <v>194317481</v>
      </c>
    </row>
    <row r="27" spans="1:18" ht="20.25" customHeight="1">
      <c r="A27" s="138"/>
      <c r="B27" s="144"/>
      <c r="C27" s="147"/>
      <c r="D27" s="145" t="s">
        <v>70</v>
      </c>
      <c r="E27" s="146"/>
      <c r="F27" s="30">
        <v>158624874</v>
      </c>
      <c r="G27" s="30"/>
      <c r="H27" s="30">
        <v>38720980</v>
      </c>
      <c r="I27" s="30">
        <v>27028724</v>
      </c>
      <c r="J27" s="30">
        <v>109804170</v>
      </c>
      <c r="K27" s="30">
        <v>57938230</v>
      </c>
      <c r="L27" s="30">
        <v>75748753</v>
      </c>
      <c r="M27" s="30"/>
      <c r="N27" s="142"/>
      <c r="O27" s="142">
        <v>65852540</v>
      </c>
      <c r="P27" s="142">
        <v>34546200</v>
      </c>
      <c r="Q27" s="142">
        <v>51054000</v>
      </c>
      <c r="R27" s="300">
        <f t="shared" si="2"/>
        <v>619318471</v>
      </c>
    </row>
    <row r="28" spans="1:18" ht="20.25" customHeight="1" hidden="1">
      <c r="A28" s="138"/>
      <c r="B28" s="144"/>
      <c r="C28" s="147"/>
      <c r="D28" s="145" t="s">
        <v>142</v>
      </c>
      <c r="E28" s="146"/>
      <c r="F28" s="30"/>
      <c r="G28" s="30"/>
      <c r="H28" s="30"/>
      <c r="I28" s="30"/>
      <c r="J28" s="30"/>
      <c r="K28" s="30"/>
      <c r="L28" s="30"/>
      <c r="M28" s="30"/>
      <c r="N28" s="142"/>
      <c r="O28" s="142"/>
      <c r="P28" s="142"/>
      <c r="Q28" s="142"/>
      <c r="R28" s="300">
        <f>SUM(F28:Q28)</f>
        <v>0</v>
      </c>
    </row>
    <row r="29" spans="1:18" ht="20.25" customHeight="1">
      <c r="A29" s="138"/>
      <c r="B29" s="144"/>
      <c r="C29" s="147"/>
      <c r="D29" s="145" t="s">
        <v>71</v>
      </c>
      <c r="E29" s="146"/>
      <c r="F29" s="30">
        <v>7166089</v>
      </c>
      <c r="G29" s="30"/>
      <c r="H29" s="30">
        <v>284284</v>
      </c>
      <c r="I29" s="30">
        <v>31581112</v>
      </c>
      <c r="J29" s="30">
        <v>27026628</v>
      </c>
      <c r="K29" s="30">
        <v>11376612</v>
      </c>
      <c r="L29" s="30">
        <v>24060909</v>
      </c>
      <c r="M29" s="30"/>
      <c r="N29" s="142"/>
      <c r="O29" s="142">
        <v>8365990</v>
      </c>
      <c r="P29" s="142">
        <v>11492117</v>
      </c>
      <c r="Q29" s="142">
        <v>12999744</v>
      </c>
      <c r="R29" s="300">
        <f aca="true" t="shared" si="3" ref="R29:R51">SUM(F29:Q29)</f>
        <v>134353485</v>
      </c>
    </row>
    <row r="30" spans="1:18" ht="20.25" customHeight="1">
      <c r="A30" s="138"/>
      <c r="B30" s="144"/>
      <c r="C30" s="147"/>
      <c r="D30" s="145" t="s">
        <v>56</v>
      </c>
      <c r="E30" s="146"/>
      <c r="F30" s="30">
        <v>6241158849</v>
      </c>
      <c r="G30" s="30"/>
      <c r="H30" s="30">
        <v>221655710</v>
      </c>
      <c r="I30" s="30">
        <v>2278719509</v>
      </c>
      <c r="J30" s="30">
        <v>1036811872</v>
      </c>
      <c r="K30" s="30">
        <v>935185555</v>
      </c>
      <c r="L30" s="30">
        <v>860047853</v>
      </c>
      <c r="M30" s="30"/>
      <c r="N30" s="142"/>
      <c r="O30" s="142">
        <v>789759366</v>
      </c>
      <c r="P30" s="142">
        <v>961991840</v>
      </c>
      <c r="Q30" s="142">
        <v>1287744512</v>
      </c>
      <c r="R30" s="300">
        <f t="shared" si="3"/>
        <v>14613075066</v>
      </c>
    </row>
    <row r="31" spans="1:18" ht="20.25" customHeight="1">
      <c r="A31" s="138"/>
      <c r="B31" s="144"/>
      <c r="C31" s="147"/>
      <c r="D31" s="145" t="s">
        <v>24</v>
      </c>
      <c r="E31" s="146"/>
      <c r="F31" s="30">
        <v>8104930</v>
      </c>
      <c r="G31" s="30"/>
      <c r="H31" s="30"/>
      <c r="I31" s="30">
        <v>338500</v>
      </c>
      <c r="J31" s="30">
        <v>803280</v>
      </c>
      <c r="K31" s="30">
        <v>112780</v>
      </c>
      <c r="L31" s="30">
        <v>822000</v>
      </c>
      <c r="M31" s="30"/>
      <c r="N31" s="142"/>
      <c r="O31" s="142">
        <v>839500</v>
      </c>
      <c r="P31" s="142">
        <v>364000</v>
      </c>
      <c r="Q31" s="142">
        <v>1449520</v>
      </c>
      <c r="R31" s="300">
        <f t="shared" si="3"/>
        <v>12834510</v>
      </c>
    </row>
    <row r="32" spans="1:18" ht="20.25" customHeight="1">
      <c r="A32" s="138"/>
      <c r="B32" s="144"/>
      <c r="C32" s="147"/>
      <c r="D32" s="145" t="s">
        <v>54</v>
      </c>
      <c r="E32" s="146"/>
      <c r="F32" s="30">
        <v>188027100</v>
      </c>
      <c r="G32" s="30"/>
      <c r="H32" s="30">
        <v>314262250</v>
      </c>
      <c r="I32" s="30">
        <v>97740546</v>
      </c>
      <c r="J32" s="30">
        <v>158805670</v>
      </c>
      <c r="K32" s="30">
        <v>42643437</v>
      </c>
      <c r="L32" s="30">
        <v>89113640</v>
      </c>
      <c r="M32" s="30"/>
      <c r="N32" s="142"/>
      <c r="O32" s="142">
        <v>93581100</v>
      </c>
      <c r="P32" s="142">
        <v>62843909</v>
      </c>
      <c r="Q32" s="142">
        <v>90758530</v>
      </c>
      <c r="R32" s="300">
        <f t="shared" si="3"/>
        <v>1137776182</v>
      </c>
    </row>
    <row r="33" spans="1:18" ht="20.25" customHeight="1">
      <c r="A33" s="138"/>
      <c r="B33" s="144"/>
      <c r="C33" s="147"/>
      <c r="D33" s="145" t="s">
        <v>100</v>
      </c>
      <c r="E33" s="146"/>
      <c r="F33" s="30">
        <v>46682960</v>
      </c>
      <c r="G33" s="30"/>
      <c r="H33" s="30">
        <v>34320000</v>
      </c>
      <c r="I33" s="30">
        <v>2550940</v>
      </c>
      <c r="J33" s="30">
        <v>11535068</v>
      </c>
      <c r="K33" s="30">
        <v>3334770</v>
      </c>
      <c r="L33" s="30">
        <v>4000732</v>
      </c>
      <c r="M33" s="30"/>
      <c r="N33" s="142"/>
      <c r="O33" s="142">
        <v>4498480</v>
      </c>
      <c r="P33" s="142">
        <v>4439620</v>
      </c>
      <c r="Q33" s="142">
        <v>3408804</v>
      </c>
      <c r="R33" s="300">
        <f t="shared" si="3"/>
        <v>114771374</v>
      </c>
    </row>
    <row r="34" spans="1:18" ht="20.25" customHeight="1">
      <c r="A34" s="138"/>
      <c r="B34" s="144"/>
      <c r="C34" s="147"/>
      <c r="D34" s="145" t="s">
        <v>26</v>
      </c>
      <c r="E34" s="146"/>
      <c r="F34" s="30">
        <v>106176721</v>
      </c>
      <c r="G34" s="30"/>
      <c r="H34" s="30">
        <v>19344270</v>
      </c>
      <c r="I34" s="30">
        <v>137474316</v>
      </c>
      <c r="J34" s="30">
        <v>87139549</v>
      </c>
      <c r="K34" s="30">
        <v>52999259</v>
      </c>
      <c r="L34" s="30">
        <v>61483519</v>
      </c>
      <c r="M34" s="30"/>
      <c r="N34" s="142"/>
      <c r="O34" s="142">
        <v>72447540</v>
      </c>
      <c r="P34" s="142">
        <v>132928762</v>
      </c>
      <c r="Q34" s="142">
        <v>73570935</v>
      </c>
      <c r="R34" s="300">
        <f t="shared" si="3"/>
        <v>743564871</v>
      </c>
    </row>
    <row r="35" spans="1:18" ht="20.25" customHeight="1">
      <c r="A35" s="138"/>
      <c r="B35" s="144"/>
      <c r="C35" s="147"/>
      <c r="D35" s="145" t="s">
        <v>84</v>
      </c>
      <c r="E35" s="146"/>
      <c r="F35" s="30">
        <v>381475097</v>
      </c>
      <c r="G35" s="30"/>
      <c r="H35" s="30">
        <v>373628630</v>
      </c>
      <c r="I35" s="30">
        <v>274804070</v>
      </c>
      <c r="J35" s="30">
        <v>449348388</v>
      </c>
      <c r="K35" s="30">
        <v>91381028</v>
      </c>
      <c r="L35" s="30">
        <v>400903203</v>
      </c>
      <c r="M35" s="30"/>
      <c r="N35" s="142"/>
      <c r="O35" s="142">
        <v>115309580</v>
      </c>
      <c r="P35" s="142">
        <v>137676323</v>
      </c>
      <c r="Q35" s="142">
        <v>66219434</v>
      </c>
      <c r="R35" s="300">
        <f t="shared" si="3"/>
        <v>2290745753</v>
      </c>
    </row>
    <row r="36" spans="1:18" ht="20.25" customHeight="1">
      <c r="A36" s="138"/>
      <c r="B36" s="144"/>
      <c r="C36" s="147"/>
      <c r="D36" s="145" t="s">
        <v>53</v>
      </c>
      <c r="E36" s="146"/>
      <c r="F36" s="30">
        <v>59412655</v>
      </c>
      <c r="G36" s="30"/>
      <c r="H36" s="30">
        <v>1638000</v>
      </c>
      <c r="I36" s="30">
        <v>211336207</v>
      </c>
      <c r="J36" s="30">
        <v>169224540</v>
      </c>
      <c r="K36" s="30">
        <v>173137663</v>
      </c>
      <c r="L36" s="30">
        <v>120766388</v>
      </c>
      <c r="M36" s="30"/>
      <c r="N36" s="142"/>
      <c r="O36" s="142">
        <v>241941766</v>
      </c>
      <c r="P36" s="142">
        <v>327745453</v>
      </c>
      <c r="Q36" s="142">
        <v>116666852</v>
      </c>
      <c r="R36" s="300">
        <f t="shared" si="3"/>
        <v>1421869524</v>
      </c>
    </row>
    <row r="37" spans="1:18" ht="20.25" customHeight="1">
      <c r="A37" s="138"/>
      <c r="B37" s="144"/>
      <c r="C37" s="147"/>
      <c r="D37" s="145" t="s">
        <v>55</v>
      </c>
      <c r="E37" s="146"/>
      <c r="F37" s="30">
        <v>777944849</v>
      </c>
      <c r="G37" s="30"/>
      <c r="H37" s="30">
        <v>3300000</v>
      </c>
      <c r="I37" s="30">
        <v>2850000</v>
      </c>
      <c r="J37" s="30">
        <v>25630868</v>
      </c>
      <c r="K37" s="30">
        <v>14630000</v>
      </c>
      <c r="L37" s="30">
        <v>108842329</v>
      </c>
      <c r="M37" s="30"/>
      <c r="N37" s="142"/>
      <c r="O37" s="142"/>
      <c r="P37" s="142">
        <v>2685000</v>
      </c>
      <c r="Q37" s="142">
        <v>1960500</v>
      </c>
      <c r="R37" s="300">
        <f t="shared" si="3"/>
        <v>937843546</v>
      </c>
    </row>
    <row r="38" spans="1:18" ht="20.25" customHeight="1">
      <c r="A38" s="138"/>
      <c r="B38" s="144"/>
      <c r="C38" s="147"/>
      <c r="D38" s="145" t="s">
        <v>438</v>
      </c>
      <c r="E38" s="146"/>
      <c r="F38" s="30">
        <v>2400000</v>
      </c>
      <c r="G38" s="30"/>
      <c r="H38" s="30">
        <v>4797540</v>
      </c>
      <c r="I38" s="30">
        <v>7800000</v>
      </c>
      <c r="J38" s="30">
        <v>7450000</v>
      </c>
      <c r="K38" s="30">
        <v>3600000</v>
      </c>
      <c r="L38" s="30">
        <v>7068222</v>
      </c>
      <c r="M38" s="30"/>
      <c r="N38" s="142"/>
      <c r="O38" s="142">
        <v>6600000</v>
      </c>
      <c r="P38" s="142">
        <v>7170000</v>
      </c>
      <c r="Q38" s="142">
        <v>7500000</v>
      </c>
      <c r="R38" s="300">
        <f t="shared" si="3"/>
        <v>54385762</v>
      </c>
    </row>
    <row r="39" spans="1:18" s="310" customFormat="1" ht="20.25" customHeight="1">
      <c r="A39" s="302"/>
      <c r="B39" s="303"/>
      <c r="C39" s="304"/>
      <c r="D39" s="305" t="s">
        <v>23</v>
      </c>
      <c r="E39" s="306"/>
      <c r="F39" s="307">
        <v>3594000</v>
      </c>
      <c r="G39" s="307"/>
      <c r="H39" s="307"/>
      <c r="I39" s="307">
        <v>18505500</v>
      </c>
      <c r="J39" s="307">
        <v>19860138</v>
      </c>
      <c r="K39" s="307">
        <v>3600000</v>
      </c>
      <c r="L39" s="307">
        <v>20558280</v>
      </c>
      <c r="M39" s="307"/>
      <c r="N39" s="308"/>
      <c r="O39" s="308">
        <v>22779795</v>
      </c>
      <c r="P39" s="308">
        <v>22410500</v>
      </c>
      <c r="Q39" s="308">
        <v>19588910</v>
      </c>
      <c r="R39" s="309">
        <f t="shared" si="3"/>
        <v>130897123</v>
      </c>
    </row>
    <row r="40" spans="1:18" ht="20.25" customHeight="1">
      <c r="A40" s="138"/>
      <c r="B40" s="144"/>
      <c r="C40" s="147"/>
      <c r="D40" s="145" t="s">
        <v>94</v>
      </c>
      <c r="E40" s="146"/>
      <c r="F40" s="30">
        <v>84085101</v>
      </c>
      <c r="G40" s="30"/>
      <c r="H40" s="30">
        <v>14112880</v>
      </c>
      <c r="I40" s="30">
        <v>19866257</v>
      </c>
      <c r="J40" s="30">
        <v>20156330</v>
      </c>
      <c r="K40" s="30">
        <v>12789503</v>
      </c>
      <c r="L40" s="30">
        <v>16883564</v>
      </c>
      <c r="M40" s="30"/>
      <c r="N40" s="142"/>
      <c r="O40" s="142">
        <v>6455450</v>
      </c>
      <c r="P40" s="142">
        <v>10568327</v>
      </c>
      <c r="Q40" s="142">
        <v>5360982</v>
      </c>
      <c r="R40" s="300">
        <f t="shared" si="3"/>
        <v>190278394</v>
      </c>
    </row>
    <row r="41" spans="1:18" ht="20.25" customHeight="1" hidden="1">
      <c r="A41" s="138"/>
      <c r="B41" s="144"/>
      <c r="C41" s="147"/>
      <c r="D41" s="311" t="s">
        <v>103</v>
      </c>
      <c r="E41" s="146"/>
      <c r="F41" s="30"/>
      <c r="G41" s="30"/>
      <c r="H41" s="30"/>
      <c r="I41" s="30"/>
      <c r="J41" s="30"/>
      <c r="K41" s="30"/>
      <c r="L41" s="30"/>
      <c r="M41" s="30"/>
      <c r="N41" s="142"/>
      <c r="O41" s="142"/>
      <c r="P41" s="142"/>
      <c r="Q41" s="142"/>
      <c r="R41" s="300">
        <f t="shared" si="3"/>
        <v>0</v>
      </c>
    </row>
    <row r="42" spans="1:18" ht="20.25" customHeight="1">
      <c r="A42" s="138"/>
      <c r="B42" s="144"/>
      <c r="C42" s="147"/>
      <c r="D42" s="145" t="s">
        <v>104</v>
      </c>
      <c r="E42" s="146"/>
      <c r="F42" s="30">
        <v>3423282931</v>
      </c>
      <c r="G42" s="30"/>
      <c r="H42" s="30">
        <v>40000000</v>
      </c>
      <c r="I42" s="30"/>
      <c r="J42" s="30"/>
      <c r="K42" s="30">
        <v>25025549</v>
      </c>
      <c r="L42" s="30"/>
      <c r="M42" s="30"/>
      <c r="N42" s="142"/>
      <c r="O42" s="142"/>
      <c r="P42" s="142"/>
      <c r="Q42" s="142"/>
      <c r="R42" s="300">
        <f t="shared" si="3"/>
        <v>3488308480</v>
      </c>
    </row>
    <row r="43" spans="1:18" ht="20.25" customHeight="1">
      <c r="A43" s="138"/>
      <c r="B43" s="144"/>
      <c r="C43" s="147"/>
      <c r="D43" s="145" t="s">
        <v>101</v>
      </c>
      <c r="E43" s="146"/>
      <c r="F43" s="30">
        <v>234580914</v>
      </c>
      <c r="G43" s="30"/>
      <c r="H43" s="30">
        <v>48348600</v>
      </c>
      <c r="I43" s="30">
        <v>23167080</v>
      </c>
      <c r="J43" s="30">
        <v>36292684</v>
      </c>
      <c r="K43" s="30">
        <v>13830700</v>
      </c>
      <c r="L43" s="30">
        <v>30606457</v>
      </c>
      <c r="M43" s="30"/>
      <c r="N43" s="142"/>
      <c r="O43" s="142">
        <v>52503520</v>
      </c>
      <c r="P43" s="142">
        <v>26496820</v>
      </c>
      <c r="Q43" s="142">
        <v>42064162</v>
      </c>
      <c r="R43" s="300">
        <f t="shared" si="3"/>
        <v>507890937</v>
      </c>
    </row>
    <row r="44" spans="1:18" ht="20.25" customHeight="1">
      <c r="A44" s="138"/>
      <c r="B44" s="144"/>
      <c r="C44" s="147"/>
      <c r="D44" s="145" t="s">
        <v>242</v>
      </c>
      <c r="E44" s="146"/>
      <c r="F44" s="30"/>
      <c r="G44" s="30"/>
      <c r="H44" s="30"/>
      <c r="I44" s="30"/>
      <c r="J44" s="30"/>
      <c r="K44" s="30"/>
      <c r="L44" s="30"/>
      <c r="M44" s="30"/>
      <c r="N44" s="142"/>
      <c r="O44" s="142"/>
      <c r="P44" s="142"/>
      <c r="Q44" s="142"/>
      <c r="R44" s="300">
        <f t="shared" si="3"/>
        <v>0</v>
      </c>
    </row>
    <row r="45" spans="1:18" ht="20.25" customHeight="1">
      <c r="A45" s="138"/>
      <c r="B45" s="144"/>
      <c r="C45" s="147"/>
      <c r="D45" s="145" t="s">
        <v>131</v>
      </c>
      <c r="E45" s="146"/>
      <c r="F45" s="30"/>
      <c r="G45" s="30"/>
      <c r="H45" s="30"/>
      <c r="I45" s="30"/>
      <c r="J45" s="30"/>
      <c r="K45" s="30"/>
      <c r="L45" s="30"/>
      <c r="M45" s="30"/>
      <c r="N45" s="142"/>
      <c r="O45" s="142"/>
      <c r="P45" s="142"/>
      <c r="Q45" s="142">
        <v>22937134</v>
      </c>
      <c r="R45" s="300">
        <f t="shared" si="3"/>
        <v>22937134</v>
      </c>
    </row>
    <row r="46" spans="1:18" ht="20.25" customHeight="1">
      <c r="A46" s="138"/>
      <c r="B46" s="144"/>
      <c r="C46" s="147"/>
      <c r="D46" s="145" t="s">
        <v>143</v>
      </c>
      <c r="E46" s="146"/>
      <c r="F46" s="30">
        <v>496106274</v>
      </c>
      <c r="G46" s="30"/>
      <c r="H46" s="30">
        <v>101557438</v>
      </c>
      <c r="I46" s="30">
        <v>324526253</v>
      </c>
      <c r="J46" s="30">
        <v>325686501</v>
      </c>
      <c r="K46" s="30">
        <v>103277192</v>
      </c>
      <c r="L46" s="30">
        <v>265009110</v>
      </c>
      <c r="M46" s="30"/>
      <c r="N46" s="142"/>
      <c r="O46" s="142">
        <v>99311756</v>
      </c>
      <c r="P46" s="142">
        <v>144958193</v>
      </c>
      <c r="Q46" s="142">
        <v>320584525</v>
      </c>
      <c r="R46" s="300">
        <f t="shared" si="3"/>
        <v>2181017242</v>
      </c>
    </row>
    <row r="47" spans="1:18" ht="20.25" customHeight="1">
      <c r="A47" s="138"/>
      <c r="B47" s="144"/>
      <c r="C47" s="147"/>
      <c r="D47" s="145" t="s">
        <v>180</v>
      </c>
      <c r="E47" s="146"/>
      <c r="F47" s="30"/>
      <c r="G47" s="30"/>
      <c r="H47" s="30"/>
      <c r="I47" s="30">
        <v>23093393</v>
      </c>
      <c r="J47" s="30">
        <v>22679154</v>
      </c>
      <c r="K47" s="30"/>
      <c r="L47" s="30">
        <v>42039524</v>
      </c>
      <c r="M47" s="30"/>
      <c r="N47" s="142"/>
      <c r="O47" s="142">
        <v>35731156</v>
      </c>
      <c r="P47" s="142">
        <v>45310084</v>
      </c>
      <c r="Q47" s="142">
        <v>46126595</v>
      </c>
      <c r="R47" s="300">
        <f>SUM(F47:Q47)</f>
        <v>214979906</v>
      </c>
    </row>
    <row r="48" spans="1:18" ht="20.25" customHeight="1" hidden="1">
      <c r="A48" s="138"/>
      <c r="B48" s="144"/>
      <c r="C48" s="147"/>
      <c r="D48" s="145" t="s">
        <v>181</v>
      </c>
      <c r="E48" s="146"/>
      <c r="F48" s="312"/>
      <c r="G48" s="30"/>
      <c r="H48" s="30"/>
      <c r="I48" s="30"/>
      <c r="J48" s="30"/>
      <c r="K48" s="30"/>
      <c r="L48" s="30"/>
      <c r="M48" s="30"/>
      <c r="N48" s="142"/>
      <c r="O48" s="142"/>
      <c r="P48" s="142"/>
      <c r="Q48" s="142"/>
      <c r="R48" s="300">
        <f>SUM(F48:Q48)</f>
        <v>0</v>
      </c>
    </row>
    <row r="49" spans="1:18" ht="20.25" customHeight="1">
      <c r="A49" s="138"/>
      <c r="B49" s="139" t="s">
        <v>18</v>
      </c>
      <c r="C49" s="512" t="s">
        <v>132</v>
      </c>
      <c r="D49" s="512"/>
      <c r="E49" s="146"/>
      <c r="F49" s="142">
        <f aca="true" t="shared" si="4" ref="F49:N49">+F18+F11+F9</f>
        <v>14890990218</v>
      </c>
      <c r="G49" s="142">
        <f t="shared" si="4"/>
        <v>0</v>
      </c>
      <c r="H49" s="142">
        <f t="shared" si="4"/>
        <v>2597145951</v>
      </c>
      <c r="I49" s="142">
        <f t="shared" si="4"/>
        <v>5406917051</v>
      </c>
      <c r="J49" s="142">
        <f t="shared" si="4"/>
        <v>4035654734</v>
      </c>
      <c r="K49" s="142">
        <f t="shared" si="4"/>
        <v>2535678734</v>
      </c>
      <c r="L49" s="142">
        <f t="shared" si="4"/>
        <v>3530751123</v>
      </c>
      <c r="M49" s="142">
        <f t="shared" si="4"/>
        <v>0</v>
      </c>
      <c r="N49" s="142">
        <f t="shared" si="4"/>
        <v>0</v>
      </c>
      <c r="O49" s="142">
        <f>+O18+O11+O9</f>
        <v>2868159866</v>
      </c>
      <c r="P49" s="142">
        <f>+P18+P11+P9</f>
        <v>3309742401</v>
      </c>
      <c r="Q49" s="142">
        <f>+Q18+Q11+Q9</f>
        <v>3474010423</v>
      </c>
      <c r="R49" s="313">
        <f t="shared" si="3"/>
        <v>42649050501</v>
      </c>
    </row>
    <row r="50" spans="1:18" ht="20.25" customHeight="1">
      <c r="A50" s="138"/>
      <c r="B50" s="139" t="s">
        <v>25</v>
      </c>
      <c r="C50" s="512" t="s">
        <v>133</v>
      </c>
      <c r="D50" s="512"/>
      <c r="E50" s="146"/>
      <c r="F50" s="30"/>
      <c r="G50" s="30"/>
      <c r="H50" s="30"/>
      <c r="I50" s="30"/>
      <c r="J50" s="30"/>
      <c r="K50" s="30"/>
      <c r="L50" s="30"/>
      <c r="M50" s="30"/>
      <c r="N50" s="142"/>
      <c r="O50" s="142"/>
      <c r="P50" s="142"/>
      <c r="Q50" s="142"/>
      <c r="R50" s="300">
        <f t="shared" si="3"/>
        <v>0</v>
      </c>
    </row>
    <row r="51" spans="1:18" ht="20.25" customHeight="1">
      <c r="A51" s="138"/>
      <c r="B51" s="139" t="s">
        <v>28</v>
      </c>
      <c r="C51" s="512" t="s">
        <v>61</v>
      </c>
      <c r="D51" s="512"/>
      <c r="E51" s="146"/>
      <c r="F51" s="150">
        <f>+F49+F50</f>
        <v>14890990218</v>
      </c>
      <c r="G51" s="150">
        <f>+G49+G50</f>
        <v>0</v>
      </c>
      <c r="H51" s="150">
        <f aca="true" t="shared" si="5" ref="H51:N51">+H49+H50</f>
        <v>2597145951</v>
      </c>
      <c r="I51" s="150">
        <f t="shared" si="5"/>
        <v>5406917051</v>
      </c>
      <c r="J51" s="150">
        <f t="shared" si="5"/>
        <v>4035654734</v>
      </c>
      <c r="K51" s="150">
        <f t="shared" si="5"/>
        <v>2535678734</v>
      </c>
      <c r="L51" s="150">
        <f t="shared" si="5"/>
        <v>3530751123</v>
      </c>
      <c r="M51" s="150">
        <f t="shared" si="5"/>
        <v>0</v>
      </c>
      <c r="N51" s="150">
        <f t="shared" si="5"/>
        <v>0</v>
      </c>
      <c r="O51" s="150">
        <f>+O49+O50</f>
        <v>2868159866</v>
      </c>
      <c r="P51" s="150">
        <f>+P49+P50</f>
        <v>3309742401</v>
      </c>
      <c r="Q51" s="150">
        <f>+Q49+Q50</f>
        <v>3474010423</v>
      </c>
      <c r="R51" s="314">
        <f t="shared" si="3"/>
        <v>42649050501</v>
      </c>
    </row>
    <row r="52" spans="1:18" ht="20.25" customHeight="1">
      <c r="A52" s="138"/>
      <c r="B52" s="139" t="s">
        <v>29</v>
      </c>
      <c r="C52" s="512" t="s">
        <v>134</v>
      </c>
      <c r="D52" s="512"/>
      <c r="E52" s="146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300"/>
    </row>
    <row r="53" spans="1:18" ht="20.25" customHeight="1">
      <c r="A53" s="138"/>
      <c r="B53" s="139" t="s">
        <v>50</v>
      </c>
      <c r="C53" s="512" t="s">
        <v>135</v>
      </c>
      <c r="D53" s="512"/>
      <c r="E53" s="146"/>
      <c r="F53" s="30"/>
      <c r="G53" s="30"/>
      <c r="H53" s="30"/>
      <c r="I53" s="30"/>
      <c r="J53" s="30"/>
      <c r="K53" s="30"/>
      <c r="L53" s="30"/>
      <c r="M53" s="30"/>
      <c r="N53" s="142"/>
      <c r="O53" s="142"/>
      <c r="P53" s="142"/>
      <c r="Q53" s="142"/>
      <c r="R53" s="300"/>
    </row>
    <row r="54" spans="1:18" ht="20.25" customHeight="1" thickBot="1">
      <c r="A54" s="138"/>
      <c r="B54" s="139" t="s">
        <v>51</v>
      </c>
      <c r="C54" s="512" t="s">
        <v>136</v>
      </c>
      <c r="D54" s="512"/>
      <c r="E54" s="146"/>
      <c r="F54" s="152">
        <f>+F51-F52-F53</f>
        <v>14890990218</v>
      </c>
      <c r="G54" s="152">
        <f>+G51-G52-G53</f>
        <v>0</v>
      </c>
      <c r="H54" s="152">
        <f aca="true" t="shared" si="6" ref="H54:N54">+H51-H52-H53</f>
        <v>2597145951</v>
      </c>
      <c r="I54" s="152">
        <f t="shared" si="6"/>
        <v>5406917051</v>
      </c>
      <c r="J54" s="152">
        <f t="shared" si="6"/>
        <v>4035654734</v>
      </c>
      <c r="K54" s="152">
        <f t="shared" si="6"/>
        <v>2535678734</v>
      </c>
      <c r="L54" s="152">
        <f t="shared" si="6"/>
        <v>3530751123</v>
      </c>
      <c r="M54" s="152">
        <f t="shared" si="6"/>
        <v>0</v>
      </c>
      <c r="N54" s="152">
        <f t="shared" si="6"/>
        <v>0</v>
      </c>
      <c r="O54" s="152">
        <f>+O51-O52-O53</f>
        <v>2868159866</v>
      </c>
      <c r="P54" s="152">
        <f>+P51-P52-P53</f>
        <v>3309742401</v>
      </c>
      <c r="Q54" s="152">
        <f>+Q51-Q52-Q53</f>
        <v>3474010423</v>
      </c>
      <c r="R54" s="315">
        <f>SUM(F54:Q54)</f>
        <v>42649050501</v>
      </c>
    </row>
    <row r="55" spans="1:18" ht="9" customHeight="1" thickBot="1" thickTop="1">
      <c r="A55" s="134"/>
      <c r="B55" s="153"/>
      <c r="C55" s="154"/>
      <c r="D55" s="151"/>
      <c r="E55" s="155"/>
      <c r="F55" s="156"/>
      <c r="G55" s="156"/>
      <c r="H55" s="156"/>
      <c r="I55" s="156"/>
      <c r="J55" s="156"/>
      <c r="K55" s="156"/>
      <c r="L55" s="156"/>
      <c r="M55" s="316"/>
      <c r="N55" s="316"/>
      <c r="O55" s="316"/>
      <c r="P55" s="316"/>
      <c r="Q55" s="316"/>
      <c r="R55" s="317"/>
    </row>
    <row r="56" spans="1:18" ht="19.5" customHeight="1">
      <c r="A56" s="514"/>
      <c r="B56" s="514"/>
      <c r="C56" s="514"/>
      <c r="D56" s="514"/>
      <c r="E56" s="514"/>
      <c r="F56" s="514"/>
      <c r="G56" s="514"/>
      <c r="H56" s="514"/>
      <c r="I56" s="514"/>
      <c r="J56" s="514"/>
      <c r="K56" s="514"/>
      <c r="L56" s="514"/>
      <c r="M56" s="514"/>
      <c r="N56" s="514"/>
      <c r="O56" s="514"/>
      <c r="P56" s="514"/>
      <c r="Q56" s="514"/>
      <c r="R56" s="514"/>
    </row>
    <row r="57" spans="4:18" ht="19.5" customHeight="1">
      <c r="D57" s="318" t="s">
        <v>243</v>
      </c>
      <c r="E57" s="28"/>
      <c r="F57" s="319">
        <f>+'손익계산서-사이트별(2018.12.31)'!F31</f>
        <v>14890990218</v>
      </c>
      <c r="G57" s="319">
        <f>+'손익계산서-사이트별(2018.12.31)'!G31</f>
        <v>0</v>
      </c>
      <c r="H57" s="319">
        <f>+'손익계산서-사이트별(2018.12.31)'!H31</f>
        <v>2597145951</v>
      </c>
      <c r="I57" s="319">
        <f>+'손익계산서-사이트별(2018.12.31)'!I31</f>
        <v>5406917051</v>
      </c>
      <c r="J57" s="319">
        <f>+'손익계산서-사이트별(2018.12.31)'!J31</f>
        <v>4035654734</v>
      </c>
      <c r="K57" s="319">
        <f>+'손익계산서-사이트별(2018.12.31)'!K31</f>
        <v>2535678734</v>
      </c>
      <c r="L57" s="319">
        <f>+'손익계산서-사이트별(2018.12.31)'!L31</f>
        <v>3530751123</v>
      </c>
      <c r="M57" s="319">
        <f>+'손익계산서-사이트별(2018.12.31)'!M31</f>
        <v>0</v>
      </c>
      <c r="N57" s="319">
        <f>+'손익계산서-사이트별(2018.12.31)'!N31</f>
        <v>0</v>
      </c>
      <c r="O57" s="319">
        <f>+'손익계산서-사이트별(2018.12.31)'!O31</f>
        <v>2868159866</v>
      </c>
      <c r="P57" s="319">
        <f>+'손익계산서-사이트별(2018.12.31)'!P31</f>
        <v>3309742401</v>
      </c>
      <c r="Q57" s="319">
        <f>+'손익계산서-사이트별(2018.12.31)'!Q31</f>
        <v>3474010423</v>
      </c>
      <c r="R57" s="300">
        <f>SUM(F57:Q57)</f>
        <v>42649050501</v>
      </c>
    </row>
    <row r="58" spans="4:18" ht="19.5" customHeight="1" thickBot="1">
      <c r="D58" s="318" t="s">
        <v>244</v>
      </c>
      <c r="E58" s="28"/>
      <c r="F58" s="320">
        <f aca="true" t="shared" si="7" ref="F58:R58">F54-F57</f>
        <v>0</v>
      </c>
      <c r="G58" s="320">
        <f t="shared" si="7"/>
        <v>0</v>
      </c>
      <c r="H58" s="320">
        <f t="shared" si="7"/>
        <v>0</v>
      </c>
      <c r="I58" s="320">
        <f t="shared" si="7"/>
        <v>0</v>
      </c>
      <c r="J58" s="320">
        <f t="shared" si="7"/>
        <v>0</v>
      </c>
      <c r="K58" s="320">
        <f t="shared" si="7"/>
        <v>0</v>
      </c>
      <c r="L58" s="320">
        <f t="shared" si="7"/>
        <v>0</v>
      </c>
      <c r="M58" s="320">
        <f t="shared" si="7"/>
        <v>0</v>
      </c>
      <c r="N58" s="320">
        <f>N54-N57</f>
        <v>0</v>
      </c>
      <c r="O58" s="320">
        <f>O54-O57</f>
        <v>0</v>
      </c>
      <c r="P58" s="320">
        <f>P54-P57</f>
        <v>0</v>
      </c>
      <c r="Q58" s="320">
        <f>Q54-Q57</f>
        <v>0</v>
      </c>
      <c r="R58" s="320">
        <f t="shared" si="7"/>
        <v>0</v>
      </c>
    </row>
    <row r="59" ht="19.5" customHeight="1" thickTop="1"/>
    <row r="60" ht="19.5" customHeight="1">
      <c r="R60" s="321">
        <f>+'고유목적사업비명세서 (2018.12.31)'!G53</f>
        <v>42649050501</v>
      </c>
    </row>
    <row r="61" ht="6.75" customHeight="1"/>
  </sheetData>
  <sheetProtection/>
  <mergeCells count="15">
    <mergeCell ref="C53:D53"/>
    <mergeCell ref="C54:D54"/>
    <mergeCell ref="A56:R56"/>
    <mergeCell ref="C11:D11"/>
    <mergeCell ref="C18:D18"/>
    <mergeCell ref="C49:D49"/>
    <mergeCell ref="C50:D50"/>
    <mergeCell ref="C51:D51"/>
    <mergeCell ref="C52:D52"/>
    <mergeCell ref="A1:R1"/>
    <mergeCell ref="A3:R3"/>
    <mergeCell ref="B6:D7"/>
    <mergeCell ref="F6:Q6"/>
    <mergeCell ref="R6:R7"/>
    <mergeCell ref="C9:D9"/>
  </mergeCells>
  <printOptions horizontalCentered="1" verticalCentered="1"/>
  <pageMargins left="0.1968503937007874" right="0.2755905511811024" top="0" bottom="0" header="0.1968503937007874" footer="0.15748031496062992"/>
  <pageSetup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3">
      <selection activeCell="K39" sqref="K39"/>
    </sheetView>
  </sheetViews>
  <sheetFormatPr defaultColWidth="8.88671875" defaultRowHeight="13.5"/>
  <cols>
    <col min="1" max="1" width="2.10546875" style="164" customWidth="1"/>
    <col min="2" max="2" width="15.10546875" style="164" customWidth="1"/>
    <col min="3" max="3" width="4.10546875" style="164" customWidth="1"/>
    <col min="4" max="4" width="13.21484375" style="164" customWidth="1"/>
    <col min="5" max="5" width="12.88671875" style="164" customWidth="1"/>
    <col min="6" max="6" width="13.21484375" style="164" customWidth="1"/>
    <col min="7" max="7" width="11.6640625" style="164" customWidth="1"/>
    <col min="8" max="16384" width="8.88671875" style="164" customWidth="1"/>
  </cols>
  <sheetData>
    <row r="1" spans="1:7" ht="23.25" customHeight="1">
      <c r="A1" s="530" t="s">
        <v>188</v>
      </c>
      <c r="B1" s="530"/>
      <c r="C1" s="530"/>
      <c r="D1" s="530"/>
      <c r="E1" s="530"/>
      <c r="F1" s="530"/>
      <c r="G1" s="530"/>
    </row>
    <row r="2" spans="1:7" ht="15.75" customHeight="1">
      <c r="A2" s="531" t="s">
        <v>416</v>
      </c>
      <c r="B2" s="532"/>
      <c r="C2" s="532"/>
      <c r="D2" s="532"/>
      <c r="E2" s="532"/>
      <c r="F2" s="532"/>
      <c r="G2" s="532"/>
    </row>
    <row r="3" spans="1:7" ht="15.75" customHeight="1">
      <c r="A3" s="531" t="s">
        <v>267</v>
      </c>
      <c r="B3" s="532"/>
      <c r="C3" s="532"/>
      <c r="D3" s="532"/>
      <c r="E3" s="532"/>
      <c r="F3" s="532"/>
      <c r="G3" s="532"/>
    </row>
    <row r="4" spans="2:3" ht="12.75" customHeight="1">
      <c r="B4" s="165"/>
      <c r="C4" s="165"/>
    </row>
    <row r="5" spans="1:7" ht="18.75" customHeight="1">
      <c r="A5" s="165" t="s">
        <v>144</v>
      </c>
      <c r="B5" s="165"/>
      <c r="C5" s="165"/>
      <c r="G5" s="166" t="s">
        <v>145</v>
      </c>
    </row>
    <row r="6" spans="1:7" ht="18.75" customHeight="1">
      <c r="A6" s="533" t="s">
        <v>146</v>
      </c>
      <c r="B6" s="534"/>
      <c r="C6" s="535"/>
      <c r="D6" s="539" t="s">
        <v>271</v>
      </c>
      <c r="E6" s="539"/>
      <c r="F6" s="539" t="s">
        <v>272</v>
      </c>
      <c r="G6" s="539"/>
    </row>
    <row r="7" spans="1:7" ht="18.75" customHeight="1">
      <c r="A7" s="536"/>
      <c r="B7" s="537"/>
      <c r="C7" s="538"/>
      <c r="D7" s="539" t="s">
        <v>147</v>
      </c>
      <c r="E7" s="539"/>
      <c r="F7" s="539" t="s">
        <v>147</v>
      </c>
      <c r="G7" s="539"/>
    </row>
    <row r="8" spans="1:7" ht="17.25" customHeight="1">
      <c r="A8" s="521" t="s">
        <v>148</v>
      </c>
      <c r="B8" s="522"/>
      <c r="C8" s="523"/>
      <c r="D8" s="167"/>
      <c r="E8" s="167"/>
      <c r="F8" s="167"/>
      <c r="G8" s="167"/>
    </row>
    <row r="9" spans="1:7" ht="17.25" customHeight="1">
      <c r="A9" s="521" t="s">
        <v>149</v>
      </c>
      <c r="B9" s="522"/>
      <c r="C9" s="523"/>
      <c r="D9" s="167"/>
      <c r="E9" s="168">
        <f>SUM(D10:D13)</f>
        <v>792868633</v>
      </c>
      <c r="F9" s="167"/>
      <c r="G9" s="168">
        <f>SUM(F10:F13)</f>
        <v>717844750</v>
      </c>
    </row>
    <row r="10" spans="1:7" ht="17.25" customHeight="1">
      <c r="A10" s="169"/>
      <c r="B10" s="170" t="s">
        <v>151</v>
      </c>
      <c r="C10" s="171"/>
      <c r="D10" s="172">
        <v>408224760</v>
      </c>
      <c r="E10" s="173"/>
      <c r="F10" s="172">
        <v>303551199</v>
      </c>
      <c r="G10" s="173"/>
    </row>
    <row r="11" spans="1:7" ht="17.25" customHeight="1">
      <c r="A11" s="169"/>
      <c r="B11" s="170" t="s">
        <v>152</v>
      </c>
      <c r="C11" s="171"/>
      <c r="D11" s="172">
        <v>327176370</v>
      </c>
      <c r="E11" s="173"/>
      <c r="F11" s="172">
        <v>332167568</v>
      </c>
      <c r="G11" s="173"/>
    </row>
    <row r="12" spans="1:7" ht="17.25" customHeight="1">
      <c r="A12" s="169"/>
      <c r="B12" s="170" t="s">
        <v>65</v>
      </c>
      <c r="C12" s="171"/>
      <c r="D12" s="179">
        <v>50719493</v>
      </c>
      <c r="E12" s="173"/>
      <c r="F12" s="179">
        <v>23777323</v>
      </c>
      <c r="G12" s="173"/>
    </row>
    <row r="13" spans="1:7" ht="17.25" customHeight="1">
      <c r="A13" s="169"/>
      <c r="B13" s="170" t="s">
        <v>153</v>
      </c>
      <c r="C13" s="171"/>
      <c r="D13" s="172">
        <v>6748010</v>
      </c>
      <c r="E13" s="173"/>
      <c r="F13" s="172">
        <v>58348660</v>
      </c>
      <c r="G13" s="173"/>
    </row>
    <row r="14" spans="1:7" ht="17.25" customHeight="1">
      <c r="A14" s="521" t="s">
        <v>150</v>
      </c>
      <c r="B14" s="522"/>
      <c r="C14" s="523"/>
      <c r="D14" s="167"/>
      <c r="E14" s="168"/>
      <c r="F14" s="167"/>
      <c r="G14" s="168"/>
    </row>
    <row r="15" spans="1:7" ht="17.25" customHeight="1">
      <c r="A15" s="521" t="s">
        <v>154</v>
      </c>
      <c r="B15" s="522"/>
      <c r="C15" s="523"/>
      <c r="D15" s="167"/>
      <c r="E15" s="168">
        <f>SUM(D16:D37)</f>
        <v>1359039944</v>
      </c>
      <c r="F15" s="167"/>
      <c r="G15" s="168">
        <f>SUM(F16:F37)</f>
        <v>1307265016</v>
      </c>
    </row>
    <row r="16" spans="1:7" ht="17.25" customHeight="1">
      <c r="A16" s="169"/>
      <c r="B16" s="170" t="s">
        <v>20</v>
      </c>
      <c r="C16" s="171"/>
      <c r="D16" s="172">
        <v>89407434</v>
      </c>
      <c r="E16" s="173"/>
      <c r="F16" s="172">
        <v>52741205</v>
      </c>
      <c r="G16" s="173"/>
    </row>
    <row r="17" spans="1:7" ht="17.25" customHeight="1">
      <c r="A17" s="169"/>
      <c r="B17" s="170" t="s">
        <v>22</v>
      </c>
      <c r="C17" s="171"/>
      <c r="D17" s="172">
        <v>80552920</v>
      </c>
      <c r="E17" s="173"/>
      <c r="F17" s="172">
        <v>70186340</v>
      </c>
      <c r="G17" s="173"/>
    </row>
    <row r="18" spans="1:7" ht="17.25" customHeight="1">
      <c r="A18" s="169"/>
      <c r="B18" s="170" t="s">
        <v>82</v>
      </c>
      <c r="C18" s="171"/>
      <c r="D18" s="172"/>
      <c r="E18" s="173"/>
      <c r="F18" s="172"/>
      <c r="G18" s="173"/>
    </row>
    <row r="19" spans="1:7" ht="17.25" customHeight="1">
      <c r="A19" s="169"/>
      <c r="B19" s="170" t="s">
        <v>83</v>
      </c>
      <c r="C19" s="171"/>
      <c r="D19" s="172">
        <v>521841</v>
      </c>
      <c r="E19" s="173"/>
      <c r="F19" s="172">
        <v>470878</v>
      </c>
      <c r="G19" s="173"/>
    </row>
    <row r="20" spans="1:7" ht="17.25" customHeight="1">
      <c r="A20" s="169"/>
      <c r="B20" s="170" t="s">
        <v>52</v>
      </c>
      <c r="C20" s="171"/>
      <c r="D20" s="172">
        <v>2567106</v>
      </c>
      <c r="E20" s="173"/>
      <c r="F20" s="172">
        <v>3116618</v>
      </c>
      <c r="G20" s="173"/>
    </row>
    <row r="21" spans="1:7" ht="17.25" customHeight="1">
      <c r="A21" s="169"/>
      <c r="B21" s="170" t="s">
        <v>155</v>
      </c>
      <c r="C21" s="171"/>
      <c r="D21" s="172"/>
      <c r="E21" s="173"/>
      <c r="F21" s="172">
        <v>394000</v>
      </c>
      <c r="G21" s="173"/>
    </row>
    <row r="22" spans="1:7" ht="17.25" customHeight="1">
      <c r="A22" s="420"/>
      <c r="B22" s="421" t="s">
        <v>21</v>
      </c>
      <c r="C22" s="422"/>
      <c r="D22" s="423">
        <v>15955193</v>
      </c>
      <c r="E22" s="424"/>
      <c r="F22" s="423">
        <v>3289851</v>
      </c>
      <c r="G22" s="424"/>
    </row>
    <row r="23" spans="1:7" ht="17.25" customHeight="1">
      <c r="A23" s="169"/>
      <c r="B23" s="170" t="s">
        <v>70</v>
      </c>
      <c r="C23" s="171"/>
      <c r="D23" s="172">
        <v>215645574</v>
      </c>
      <c r="E23" s="173"/>
      <c r="F23" s="172">
        <v>356919089</v>
      </c>
      <c r="G23" s="173"/>
    </row>
    <row r="24" spans="1:7" ht="17.25" customHeight="1">
      <c r="A24" s="169"/>
      <c r="B24" s="170" t="s">
        <v>56</v>
      </c>
      <c r="C24" s="171"/>
      <c r="D24" s="172">
        <v>247527173</v>
      </c>
      <c r="E24" s="173"/>
      <c r="F24" s="172">
        <v>141004245</v>
      </c>
      <c r="G24" s="173"/>
    </row>
    <row r="25" spans="1:7" ht="17.25" customHeight="1">
      <c r="A25" s="169"/>
      <c r="B25" s="170" t="s">
        <v>71</v>
      </c>
      <c r="C25" s="171"/>
      <c r="D25" s="172">
        <v>8301320</v>
      </c>
      <c r="E25" s="173"/>
      <c r="F25" s="172">
        <v>3371780</v>
      </c>
      <c r="G25" s="173"/>
    </row>
    <row r="26" spans="1:7" ht="17.25" customHeight="1">
      <c r="A26" s="169"/>
      <c r="B26" s="170" t="s">
        <v>24</v>
      </c>
      <c r="C26" s="171"/>
      <c r="D26" s="172"/>
      <c r="E26" s="173"/>
      <c r="F26" s="172"/>
      <c r="G26" s="173"/>
    </row>
    <row r="27" spans="1:7" ht="17.25" customHeight="1">
      <c r="A27" s="169"/>
      <c r="B27" s="170" t="s">
        <v>54</v>
      </c>
      <c r="C27" s="171"/>
      <c r="D27" s="172">
        <v>12181227</v>
      </c>
      <c r="E27" s="173"/>
      <c r="F27" s="172">
        <v>38331134</v>
      </c>
      <c r="G27" s="173"/>
    </row>
    <row r="28" spans="1:7" ht="17.25" customHeight="1">
      <c r="A28" s="169"/>
      <c r="B28" s="174" t="s">
        <v>156</v>
      </c>
      <c r="C28" s="171"/>
      <c r="D28" s="172">
        <v>10000000</v>
      </c>
      <c r="E28" s="173"/>
      <c r="F28" s="172">
        <v>7762200</v>
      </c>
      <c r="G28" s="173"/>
    </row>
    <row r="29" spans="1:7" ht="17.25" customHeight="1">
      <c r="A29" s="169"/>
      <c r="B29" s="170" t="s">
        <v>100</v>
      </c>
      <c r="C29" s="171"/>
      <c r="D29" s="172"/>
      <c r="E29" s="173"/>
      <c r="F29" s="172"/>
      <c r="G29" s="173"/>
    </row>
    <row r="30" spans="1:7" ht="17.25" customHeight="1">
      <c r="A30" s="169"/>
      <c r="B30" s="170" t="s">
        <v>26</v>
      </c>
      <c r="C30" s="171"/>
      <c r="D30" s="172">
        <v>140213925</v>
      </c>
      <c r="E30" s="173"/>
      <c r="F30" s="172">
        <v>104435397</v>
      </c>
      <c r="G30" s="173"/>
    </row>
    <row r="31" spans="1:7" ht="17.25" customHeight="1">
      <c r="A31" s="169"/>
      <c r="B31" s="170" t="s">
        <v>84</v>
      </c>
      <c r="C31" s="171"/>
      <c r="D31" s="172">
        <v>14440000</v>
      </c>
      <c r="E31" s="173"/>
      <c r="F31" s="172">
        <v>30389528</v>
      </c>
      <c r="G31" s="173"/>
    </row>
    <row r="32" spans="1:7" ht="17.25" customHeight="1">
      <c r="A32" s="169"/>
      <c r="B32" s="170" t="s">
        <v>157</v>
      </c>
      <c r="C32" s="171"/>
      <c r="D32" s="172">
        <v>509661000</v>
      </c>
      <c r="E32" s="173"/>
      <c r="F32" s="172">
        <v>324478000</v>
      </c>
      <c r="G32" s="173"/>
    </row>
    <row r="33" spans="1:7" ht="17.25" customHeight="1">
      <c r="A33" s="169"/>
      <c r="B33" s="170" t="s">
        <v>23</v>
      </c>
      <c r="C33" s="171"/>
      <c r="D33" s="172"/>
      <c r="E33" s="173"/>
      <c r="F33" s="172"/>
      <c r="G33" s="173"/>
    </row>
    <row r="34" spans="1:7" ht="17.25" customHeight="1">
      <c r="A34" s="169"/>
      <c r="B34" s="170" t="s">
        <v>53</v>
      </c>
      <c r="C34" s="171"/>
      <c r="D34" s="172">
        <v>6359461</v>
      </c>
      <c r="E34" s="173"/>
      <c r="F34" s="172">
        <v>5913332</v>
      </c>
      <c r="G34" s="173"/>
    </row>
    <row r="35" spans="1:7" ht="17.25" customHeight="1">
      <c r="A35" s="169"/>
      <c r="B35" s="170" t="s">
        <v>101</v>
      </c>
      <c r="C35" s="171"/>
      <c r="D35" s="172">
        <v>207750</v>
      </c>
      <c r="E35" s="173"/>
      <c r="F35" s="172">
        <v>934760</v>
      </c>
      <c r="G35" s="173"/>
    </row>
    <row r="36" spans="1:7" ht="17.25" customHeight="1">
      <c r="A36" s="169"/>
      <c r="B36" s="170" t="s">
        <v>94</v>
      </c>
      <c r="C36" s="171"/>
      <c r="D36" s="172">
        <v>5498020</v>
      </c>
      <c r="E36" s="173"/>
      <c r="F36" s="172">
        <v>4766760</v>
      </c>
      <c r="G36" s="173"/>
    </row>
    <row r="37" spans="1:7" ht="17.25" customHeight="1">
      <c r="A37" s="169"/>
      <c r="B37" s="170" t="s">
        <v>185</v>
      </c>
      <c r="C37" s="171"/>
      <c r="D37" s="172"/>
      <c r="E37" s="173"/>
      <c r="F37" s="172">
        <v>158759899</v>
      </c>
      <c r="G37" s="173"/>
    </row>
    <row r="38" spans="1:7" ht="17.25" customHeight="1">
      <c r="A38" s="521" t="s">
        <v>158</v>
      </c>
      <c r="B38" s="522"/>
      <c r="C38" s="523"/>
      <c r="D38" s="167"/>
      <c r="E38" s="168">
        <f>+E15+E9</f>
        <v>2151908577</v>
      </c>
      <c r="F38" s="167"/>
      <c r="G38" s="168">
        <f>+G15+G9</f>
        <v>2025109766</v>
      </c>
    </row>
    <row r="39" spans="1:7" ht="17.25" customHeight="1">
      <c r="A39" s="521" t="s">
        <v>159</v>
      </c>
      <c r="B39" s="522"/>
      <c r="C39" s="523"/>
      <c r="D39" s="167"/>
      <c r="E39" s="168">
        <f>+G42</f>
        <v>1147283</v>
      </c>
      <c r="F39" s="167"/>
      <c r="G39" s="168">
        <v>405560575</v>
      </c>
    </row>
    <row r="40" spans="1:7" ht="17.25" customHeight="1">
      <c r="A40" s="521" t="s">
        <v>160</v>
      </c>
      <c r="B40" s="522"/>
      <c r="C40" s="523"/>
      <c r="D40" s="167"/>
      <c r="E40" s="473">
        <v>335831770</v>
      </c>
      <c r="F40" s="167"/>
      <c r="G40" s="167"/>
    </row>
    <row r="41" spans="1:7" ht="17.25" customHeight="1">
      <c r="A41" s="521" t="s">
        <v>161</v>
      </c>
      <c r="B41" s="522"/>
      <c r="C41" s="523"/>
      <c r="D41" s="167"/>
      <c r="E41" s="473">
        <f>+E39+E38+E40</f>
        <v>2488887630</v>
      </c>
      <c r="F41" s="167"/>
      <c r="G41" s="168">
        <f>+G39+G38</f>
        <v>2430670341</v>
      </c>
    </row>
    <row r="42" spans="1:7" ht="17.25" customHeight="1">
      <c r="A42" s="524" t="s">
        <v>233</v>
      </c>
      <c r="B42" s="525"/>
      <c r="C42" s="526"/>
      <c r="D42" s="291"/>
      <c r="E42" s="474">
        <v>465888046</v>
      </c>
      <c r="F42" s="167"/>
      <c r="G42" s="168">
        <v>1147283</v>
      </c>
    </row>
    <row r="43" spans="1:7" ht="17.25" customHeight="1">
      <c r="A43" s="521" t="s">
        <v>162</v>
      </c>
      <c r="B43" s="522"/>
      <c r="C43" s="523"/>
      <c r="D43" s="167"/>
      <c r="E43" s="473">
        <v>158759899</v>
      </c>
      <c r="F43" s="167"/>
      <c r="G43" s="167"/>
    </row>
    <row r="44" spans="1:7" ht="17.25" customHeight="1">
      <c r="A44" s="527" t="s">
        <v>163</v>
      </c>
      <c r="B44" s="528"/>
      <c r="C44" s="529"/>
      <c r="D44" s="175"/>
      <c r="E44" s="475">
        <f>+E41-E42-E43</f>
        <v>1864239685</v>
      </c>
      <c r="F44" s="175"/>
      <c r="G44" s="176">
        <f>+G41-G42</f>
        <v>2429523058</v>
      </c>
    </row>
  </sheetData>
  <sheetProtection/>
  <mergeCells count="19">
    <mergeCell ref="A39:C39"/>
    <mergeCell ref="A1:G1"/>
    <mergeCell ref="A2:G2"/>
    <mergeCell ref="A3:G3"/>
    <mergeCell ref="A6:C7"/>
    <mergeCell ref="D6:E6"/>
    <mergeCell ref="F6:G6"/>
    <mergeCell ref="D7:E7"/>
    <mergeCell ref="F7:G7"/>
    <mergeCell ref="A40:C40"/>
    <mergeCell ref="A41:C41"/>
    <mergeCell ref="A42:C42"/>
    <mergeCell ref="A43:C43"/>
    <mergeCell ref="A44:C44"/>
    <mergeCell ref="A8:C8"/>
    <mergeCell ref="A9:C9"/>
    <mergeCell ref="A14:C14"/>
    <mergeCell ref="A15:C15"/>
    <mergeCell ref="A38:C38"/>
  </mergeCells>
  <printOptions/>
  <pageMargins left="0.7" right="0.7" top="0.47" bottom="0.46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A1">
      <selection activeCell="F18" sqref="F18"/>
    </sheetView>
  </sheetViews>
  <sheetFormatPr defaultColWidth="8.88671875" defaultRowHeight="19.5" customHeight="1"/>
  <cols>
    <col min="1" max="1" width="2.3359375" style="0" customWidth="1"/>
    <col min="2" max="2" width="2.10546875" style="0" customWidth="1"/>
    <col min="3" max="3" width="26.4453125" style="0" customWidth="1"/>
    <col min="4" max="4" width="0.88671875" style="0" customWidth="1"/>
    <col min="5" max="5" width="0.78125" style="0" customWidth="1"/>
    <col min="6" max="6" width="11.6640625" style="0" customWidth="1"/>
    <col min="7" max="8" width="0.78125" style="0" customWidth="1"/>
    <col min="9" max="9" width="11.10546875" style="0" customWidth="1"/>
    <col min="10" max="10" width="0.55078125" style="0" customWidth="1"/>
    <col min="11" max="11" width="0.671875" style="0" customWidth="1"/>
    <col min="12" max="12" width="11.5546875" style="0" customWidth="1"/>
    <col min="13" max="14" width="0.78125" style="0" customWidth="1"/>
    <col min="15" max="15" width="10.88671875" style="0" customWidth="1"/>
    <col min="16" max="16" width="0.78125" style="0" customWidth="1"/>
    <col min="18" max="18" width="15.4453125" style="0" bestFit="1" customWidth="1"/>
  </cols>
  <sheetData>
    <row r="1" ht="48.75" customHeight="1"/>
    <row r="2" spans="1:16" ht="31.5" customHeight="1">
      <c r="A2" s="542" t="s">
        <v>418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427"/>
    </row>
    <row r="3" spans="1:16" ht="7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15" customHeight="1">
      <c r="A4" s="497" t="s">
        <v>436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08"/>
    </row>
    <row r="5" spans="1:16" ht="15" customHeight="1">
      <c r="A5" s="497" t="s">
        <v>437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497"/>
      <c r="P5" s="408"/>
    </row>
    <row r="6" spans="1:16" ht="15" customHeight="1">
      <c r="A6" s="40"/>
      <c r="B6" s="40"/>
      <c r="C6" s="428"/>
      <c r="D6" s="428"/>
      <c r="E6" s="428"/>
      <c r="F6" s="428"/>
      <c r="G6" s="428"/>
      <c r="H6" s="428"/>
      <c r="I6" s="428"/>
      <c r="J6" s="428"/>
      <c r="K6" s="428"/>
      <c r="L6" s="40"/>
      <c r="M6" s="40"/>
      <c r="N6" s="40"/>
      <c r="O6" s="40"/>
      <c r="P6" s="40"/>
    </row>
    <row r="7" spans="1:16" ht="44.25" customHeight="1" thickBot="1">
      <c r="A7" s="429" t="s">
        <v>38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30" t="s">
        <v>30</v>
      </c>
      <c r="P7" s="430"/>
    </row>
    <row r="8" spans="1:16" ht="19.5" customHeight="1">
      <c r="A8" s="543" t="s">
        <v>419</v>
      </c>
      <c r="B8" s="544"/>
      <c r="C8" s="544"/>
      <c r="D8" s="545"/>
      <c r="E8" s="431"/>
      <c r="F8" s="549" t="s">
        <v>269</v>
      </c>
      <c r="G8" s="549"/>
      <c r="H8" s="549"/>
      <c r="I8" s="549"/>
      <c r="J8" s="432"/>
      <c r="K8" s="431"/>
      <c r="L8" s="549" t="s">
        <v>270</v>
      </c>
      <c r="M8" s="549"/>
      <c r="N8" s="549"/>
      <c r="O8" s="549"/>
      <c r="P8" s="433"/>
    </row>
    <row r="9" spans="1:16" ht="19.5" customHeight="1" thickBot="1">
      <c r="A9" s="546"/>
      <c r="B9" s="547"/>
      <c r="C9" s="547"/>
      <c r="D9" s="548"/>
      <c r="E9" s="434"/>
      <c r="F9" s="550" t="s">
        <v>420</v>
      </c>
      <c r="G9" s="550"/>
      <c r="H9" s="550"/>
      <c r="I9" s="550"/>
      <c r="J9" s="435"/>
      <c r="K9" s="434"/>
      <c r="L9" s="550" t="s">
        <v>420</v>
      </c>
      <c r="M9" s="550"/>
      <c r="N9" s="550"/>
      <c r="O9" s="550"/>
      <c r="P9" s="436"/>
    </row>
    <row r="10" spans="1:17" ht="19.5" customHeight="1">
      <c r="A10" s="133"/>
      <c r="B10" s="135"/>
      <c r="C10" s="135"/>
      <c r="D10" s="136"/>
      <c r="E10" s="144"/>
      <c r="F10" s="437"/>
      <c r="G10" s="438"/>
      <c r="H10" s="439"/>
      <c r="I10" s="437"/>
      <c r="J10" s="440"/>
      <c r="K10" s="437"/>
      <c r="L10" s="437"/>
      <c r="M10" s="438"/>
      <c r="N10" s="441"/>
      <c r="O10" s="437"/>
      <c r="P10" s="442"/>
      <c r="Q10" s="131"/>
    </row>
    <row r="11" spans="1:17" ht="22.5" customHeight="1">
      <c r="A11" s="443" t="s">
        <v>421</v>
      </c>
      <c r="B11" s="551" t="s">
        <v>422</v>
      </c>
      <c r="C11" s="551"/>
      <c r="D11" s="444"/>
      <c r="E11" s="445"/>
      <c r="F11" s="83"/>
      <c r="G11" s="84"/>
      <c r="H11" s="83"/>
      <c r="I11" s="83">
        <f>+F13+F14</f>
        <v>2256972045</v>
      </c>
      <c r="J11" s="84"/>
      <c r="K11" s="83"/>
      <c r="L11" s="83"/>
      <c r="M11" s="84"/>
      <c r="N11" s="446"/>
      <c r="O11" s="83">
        <f>+L13+L14</f>
        <v>663517638</v>
      </c>
      <c r="P11" s="447"/>
      <c r="Q11" s="131"/>
    </row>
    <row r="12" spans="1:17" ht="9" customHeight="1">
      <c r="A12" s="448"/>
      <c r="B12" s="140"/>
      <c r="C12" s="140"/>
      <c r="D12" s="141"/>
      <c r="E12" s="144"/>
      <c r="F12" s="69"/>
      <c r="G12" s="70"/>
      <c r="H12" s="69"/>
      <c r="I12" s="69"/>
      <c r="J12" s="70"/>
      <c r="K12" s="69"/>
      <c r="L12" s="69"/>
      <c r="M12" s="70"/>
      <c r="N12" s="449"/>
      <c r="O12" s="69"/>
      <c r="P12" s="450"/>
      <c r="Q12" s="131"/>
    </row>
    <row r="13" spans="1:17" ht="22.5" customHeight="1">
      <c r="A13" s="448"/>
      <c r="B13" s="148" t="s">
        <v>423</v>
      </c>
      <c r="C13" s="451" t="s">
        <v>424</v>
      </c>
      <c r="D13" s="146"/>
      <c r="E13" s="145"/>
      <c r="F13" s="69">
        <f>+O27</f>
        <v>1213517638</v>
      </c>
      <c r="G13" s="70"/>
      <c r="H13" s="69"/>
      <c r="I13" s="69"/>
      <c r="J13" s="70"/>
      <c r="K13" s="69"/>
      <c r="L13" s="69">
        <v>3184112007</v>
      </c>
      <c r="M13" s="70"/>
      <c r="N13" s="449"/>
      <c r="O13" s="69"/>
      <c r="P13" s="450"/>
      <c r="Q13" s="131"/>
    </row>
    <row r="14" spans="1:17" ht="22.5" customHeight="1">
      <c r="A14" s="138"/>
      <c r="B14" s="148" t="s">
        <v>425</v>
      </c>
      <c r="C14" s="451" t="s">
        <v>426</v>
      </c>
      <c r="D14" s="146"/>
      <c r="E14" s="145"/>
      <c r="F14" s="69">
        <f>-'손익계산서 (2018.12.31)'!J91</f>
        <v>1043454407</v>
      </c>
      <c r="G14" s="70"/>
      <c r="H14" s="69"/>
      <c r="I14" s="69"/>
      <c r="J14" s="70"/>
      <c r="K14" s="69"/>
      <c r="L14" s="69">
        <v>-2520594369</v>
      </c>
      <c r="M14" s="70"/>
      <c r="N14" s="449"/>
      <c r="O14" s="69"/>
      <c r="P14" s="450"/>
      <c r="Q14" s="131"/>
    </row>
    <row r="15" spans="1:17" ht="9.75" customHeight="1">
      <c r="A15" s="138"/>
      <c r="B15" s="148"/>
      <c r="C15" s="145"/>
      <c r="D15" s="146"/>
      <c r="E15" s="145"/>
      <c r="F15" s="69"/>
      <c r="G15" s="70"/>
      <c r="H15" s="69"/>
      <c r="I15" s="69"/>
      <c r="J15" s="70"/>
      <c r="K15" s="69"/>
      <c r="L15" s="69"/>
      <c r="M15" s="70"/>
      <c r="N15" s="449"/>
      <c r="O15" s="69"/>
      <c r="P15" s="450"/>
      <c r="Q15" s="131"/>
    </row>
    <row r="16" spans="1:18" ht="22.5" customHeight="1">
      <c r="A16" s="443" t="s">
        <v>427</v>
      </c>
      <c r="B16" s="551" t="s">
        <v>428</v>
      </c>
      <c r="C16" s="551"/>
      <c r="D16" s="452"/>
      <c r="E16" s="453"/>
      <c r="F16" s="83"/>
      <c r="G16" s="84"/>
      <c r="H16" s="83"/>
      <c r="I16" s="454">
        <f>F18</f>
        <v>2500000000</v>
      </c>
      <c r="J16" s="455"/>
      <c r="K16" s="456"/>
      <c r="L16" s="83"/>
      <c r="M16" s="84"/>
      <c r="N16" s="446"/>
      <c r="O16" s="454">
        <f>+L18</f>
        <v>1950000000</v>
      </c>
      <c r="P16" s="457"/>
      <c r="Q16" s="131"/>
      <c r="R16" s="1"/>
    </row>
    <row r="17" spans="1:17" ht="12" customHeight="1">
      <c r="A17" s="138"/>
      <c r="B17" s="148"/>
      <c r="C17" s="145"/>
      <c r="D17" s="146"/>
      <c r="E17" s="145"/>
      <c r="F17" s="69"/>
      <c r="G17" s="70"/>
      <c r="H17" s="69"/>
      <c r="I17" s="69"/>
      <c r="J17" s="70"/>
      <c r="K17" s="69"/>
      <c r="L17" s="69"/>
      <c r="M17" s="70"/>
      <c r="N17" s="449"/>
      <c r="O17" s="69"/>
      <c r="P17" s="450"/>
      <c r="Q17" s="131"/>
    </row>
    <row r="18" spans="1:17" ht="22.5" customHeight="1">
      <c r="A18" s="138"/>
      <c r="B18" s="148" t="s">
        <v>429</v>
      </c>
      <c r="C18" s="451" t="s">
        <v>430</v>
      </c>
      <c r="D18" s="146"/>
      <c r="E18" s="145"/>
      <c r="F18" s="458">
        <f>+L24</f>
        <v>2500000000</v>
      </c>
      <c r="G18" s="70"/>
      <c r="H18" s="69"/>
      <c r="I18" s="69"/>
      <c r="J18" s="70"/>
      <c r="K18" s="69"/>
      <c r="L18" s="69">
        <v>1950000000</v>
      </c>
      <c r="M18" s="70"/>
      <c r="N18" s="449"/>
      <c r="O18" s="69"/>
      <c r="P18" s="450"/>
      <c r="Q18" s="131"/>
    </row>
    <row r="19" spans="1:17" ht="9.75" customHeight="1">
      <c r="A19" s="138"/>
      <c r="B19" s="148"/>
      <c r="C19" s="145"/>
      <c r="D19" s="146"/>
      <c r="E19" s="145"/>
      <c r="F19" s="69"/>
      <c r="G19" s="70"/>
      <c r="H19" s="69"/>
      <c r="I19" s="459"/>
      <c r="J19" s="70"/>
      <c r="K19" s="69"/>
      <c r="L19" s="69"/>
      <c r="M19" s="70"/>
      <c r="N19" s="449"/>
      <c r="O19" s="459"/>
      <c r="P19" s="450"/>
      <c r="Q19" s="131"/>
    </row>
    <row r="20" spans="1:17" ht="22.5" customHeight="1">
      <c r="A20" s="448"/>
      <c r="B20" s="139"/>
      <c r="C20" s="145" t="s">
        <v>61</v>
      </c>
      <c r="D20" s="146"/>
      <c r="E20" s="145"/>
      <c r="F20" s="69"/>
      <c r="G20" s="70"/>
      <c r="H20" s="69"/>
      <c r="I20" s="69">
        <f>+I11-I16</f>
        <v>-243027955</v>
      </c>
      <c r="J20" s="70"/>
      <c r="K20" s="69"/>
      <c r="L20" s="69"/>
      <c r="M20" s="70"/>
      <c r="N20" s="449"/>
      <c r="O20" s="69">
        <f>+O11-O16</f>
        <v>-1286482362</v>
      </c>
      <c r="P20" s="450"/>
      <c r="Q20" s="131"/>
    </row>
    <row r="21" spans="1:17" ht="9" customHeight="1">
      <c r="A21" s="448"/>
      <c r="B21" s="139"/>
      <c r="C21" s="145"/>
      <c r="D21" s="146"/>
      <c r="E21" s="145"/>
      <c r="F21" s="69"/>
      <c r="G21" s="70"/>
      <c r="H21" s="69"/>
      <c r="I21" s="69"/>
      <c r="J21" s="70"/>
      <c r="K21" s="69"/>
      <c r="L21" s="69"/>
      <c r="M21" s="70"/>
      <c r="N21" s="449"/>
      <c r="O21" s="69"/>
      <c r="P21" s="450"/>
      <c r="Q21" s="131"/>
    </row>
    <row r="22" spans="1:17" ht="22.5" customHeight="1">
      <c r="A22" s="443" t="s">
        <v>27</v>
      </c>
      <c r="B22" s="551" t="s">
        <v>431</v>
      </c>
      <c r="C22" s="551"/>
      <c r="D22" s="460"/>
      <c r="E22" s="461"/>
      <c r="F22" s="83"/>
      <c r="G22" s="84"/>
      <c r="H22" s="83"/>
      <c r="I22" s="462">
        <f>F24+F25</f>
        <v>3000000000</v>
      </c>
      <c r="J22" s="455"/>
      <c r="K22" s="456"/>
      <c r="L22" s="83"/>
      <c r="M22" s="84"/>
      <c r="N22" s="446"/>
      <c r="O22" s="454">
        <f>+L24+L25</f>
        <v>2500000000</v>
      </c>
      <c r="P22" s="457"/>
      <c r="Q22" s="131"/>
    </row>
    <row r="23" spans="1:17" ht="8.25" customHeight="1">
      <c r="A23" s="448"/>
      <c r="B23" s="140"/>
      <c r="C23" s="140"/>
      <c r="D23" s="146"/>
      <c r="E23" s="145"/>
      <c r="F23" s="69"/>
      <c r="G23" s="70"/>
      <c r="H23" s="69"/>
      <c r="I23" s="69"/>
      <c r="J23" s="70"/>
      <c r="K23" s="69"/>
      <c r="L23" s="69"/>
      <c r="M23" s="70"/>
      <c r="N23" s="449"/>
      <c r="O23" s="69"/>
      <c r="P23" s="450"/>
      <c r="Q23" s="131"/>
    </row>
    <row r="24" spans="1:17" ht="22.5" customHeight="1">
      <c r="A24" s="448"/>
      <c r="B24" s="463" t="s">
        <v>429</v>
      </c>
      <c r="C24" s="464" t="s">
        <v>432</v>
      </c>
      <c r="D24" s="146"/>
      <c r="E24" s="145"/>
      <c r="F24" s="69">
        <v>3000000000</v>
      </c>
      <c r="G24" s="70"/>
      <c r="H24" s="69"/>
      <c r="I24" s="69"/>
      <c r="J24" s="70"/>
      <c r="K24" s="69"/>
      <c r="L24" s="69">
        <v>2500000000</v>
      </c>
      <c r="M24" s="70"/>
      <c r="N24" s="449"/>
      <c r="O24" s="69"/>
      <c r="P24" s="450"/>
      <c r="Q24" s="131"/>
    </row>
    <row r="25" spans="1:17" ht="22.5" customHeight="1">
      <c r="A25" s="448"/>
      <c r="B25" s="463" t="s">
        <v>433</v>
      </c>
      <c r="C25" s="464" t="s">
        <v>434</v>
      </c>
      <c r="D25" s="146"/>
      <c r="E25" s="145"/>
      <c r="F25" s="69"/>
      <c r="G25" s="70"/>
      <c r="H25" s="69"/>
      <c r="I25" s="69"/>
      <c r="J25" s="70"/>
      <c r="K25" s="69"/>
      <c r="L25" s="69"/>
      <c r="M25" s="70"/>
      <c r="N25" s="449"/>
      <c r="O25" s="69"/>
      <c r="P25" s="450"/>
      <c r="Q25" s="131"/>
    </row>
    <row r="26" spans="1:17" ht="7.5" customHeight="1">
      <c r="A26" s="138"/>
      <c r="B26" s="148"/>
      <c r="C26" s="145"/>
      <c r="D26" s="146"/>
      <c r="E26" s="145"/>
      <c r="F26" s="69"/>
      <c r="G26" s="70"/>
      <c r="H26" s="69"/>
      <c r="I26" s="69"/>
      <c r="J26" s="70"/>
      <c r="K26" s="69"/>
      <c r="L26" s="69"/>
      <c r="M26" s="70"/>
      <c r="N26" s="449"/>
      <c r="O26" s="69"/>
      <c r="P26" s="450"/>
      <c r="Q26" s="131"/>
    </row>
    <row r="27" spans="1:17" ht="32.25" customHeight="1" thickBot="1">
      <c r="A27" s="443" t="s">
        <v>18</v>
      </c>
      <c r="B27" s="540" t="s">
        <v>435</v>
      </c>
      <c r="C27" s="540"/>
      <c r="D27" s="444"/>
      <c r="E27" s="445"/>
      <c r="F27" s="83"/>
      <c r="G27" s="84"/>
      <c r="H27" s="83"/>
      <c r="I27" s="465">
        <f>+I20+I22</f>
        <v>2756972045</v>
      </c>
      <c r="J27" s="84"/>
      <c r="K27" s="83"/>
      <c r="L27" s="83"/>
      <c r="M27" s="84"/>
      <c r="N27" s="446"/>
      <c r="O27" s="465">
        <f>+O11-O16+O22</f>
        <v>1213517638</v>
      </c>
      <c r="P27" s="450"/>
      <c r="Q27" s="131"/>
    </row>
    <row r="28" spans="1:17" ht="9" customHeight="1" thickBot="1" thickTop="1">
      <c r="A28" s="134"/>
      <c r="B28" s="154"/>
      <c r="C28" s="151"/>
      <c r="D28" s="155"/>
      <c r="E28" s="151"/>
      <c r="F28" s="466"/>
      <c r="G28" s="467"/>
      <c r="H28" s="466"/>
      <c r="I28" s="468"/>
      <c r="J28" s="467"/>
      <c r="K28" s="466"/>
      <c r="L28" s="466"/>
      <c r="M28" s="467"/>
      <c r="N28" s="469"/>
      <c r="O28" s="468"/>
      <c r="P28" s="470"/>
      <c r="Q28" s="131"/>
    </row>
    <row r="29" spans="1:17" ht="19.5" customHeight="1">
      <c r="A29" s="541"/>
      <c r="B29" s="541"/>
      <c r="C29" s="541"/>
      <c r="D29" s="541"/>
      <c r="E29" s="541"/>
      <c r="F29" s="541"/>
      <c r="G29" s="541"/>
      <c r="H29" s="541"/>
      <c r="I29" s="541"/>
      <c r="J29" s="541"/>
      <c r="K29" s="541"/>
      <c r="L29" s="541"/>
      <c r="M29" s="541"/>
      <c r="N29" s="541"/>
      <c r="O29" s="541"/>
      <c r="P29" s="471"/>
      <c r="Q29" s="131"/>
    </row>
    <row r="30" spans="1:17" ht="19.5" customHeight="1">
      <c r="A30" s="131"/>
      <c r="B30" s="131"/>
      <c r="C30" s="131"/>
      <c r="D30" s="131"/>
      <c r="E30" s="131"/>
      <c r="F30" s="472"/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131"/>
    </row>
    <row r="31" spans="1:17" ht="19.5" customHeight="1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</row>
    <row r="35" ht="6.75" customHeight="1"/>
  </sheetData>
  <sheetProtection/>
  <mergeCells count="13">
    <mergeCell ref="B11:C11"/>
    <mergeCell ref="B16:C16"/>
    <mergeCell ref="B22:C22"/>
    <mergeCell ref="B27:C27"/>
    <mergeCell ref="A29:O29"/>
    <mergeCell ref="A2:O2"/>
    <mergeCell ref="A4:O4"/>
    <mergeCell ref="A5:O5"/>
    <mergeCell ref="A8:D9"/>
    <mergeCell ref="F8:I8"/>
    <mergeCell ref="L8:O8"/>
    <mergeCell ref="F9:I9"/>
    <mergeCell ref="L9:O9"/>
  </mergeCells>
  <printOptions horizontalCentered="1"/>
  <pageMargins left="0.31496062992125984" right="0.31496062992125984" top="0.7480314960629921" bottom="0.7480314960629921" header="0.275590551181102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92"/>
  <sheetViews>
    <sheetView zoomScalePageLayoutView="0" workbookViewId="0" topLeftCell="A1">
      <pane ySplit="10" topLeftCell="A71" activePane="bottomLeft" state="frozen"/>
      <selection pane="topLeft" activeCell="A1" sqref="A1"/>
      <selection pane="bottomLeft" activeCell="C85" sqref="C85"/>
    </sheetView>
  </sheetViews>
  <sheetFormatPr defaultColWidth="8.88671875" defaultRowHeight="13.5"/>
  <cols>
    <col min="1" max="2" width="14.99609375" style="0" bestFit="1" customWidth="1"/>
    <col min="3" max="3" width="17.3359375" style="0" bestFit="1" customWidth="1"/>
    <col min="4" max="5" width="14.99609375" style="0" bestFit="1" customWidth="1"/>
  </cols>
  <sheetData>
    <row r="1" spans="1:5" s="388" customFormat="1" ht="21.75" customHeight="1">
      <c r="A1" s="552" t="s">
        <v>277</v>
      </c>
      <c r="B1" s="552"/>
      <c r="C1" s="552"/>
      <c r="D1" s="552"/>
      <c r="E1" s="552"/>
    </row>
    <row r="2" spans="1:5" s="388" customFormat="1" ht="7.5" customHeight="1">
      <c r="A2" s="387"/>
      <c r="B2" s="387"/>
      <c r="C2" s="387"/>
      <c r="D2" s="387"/>
      <c r="E2" s="387"/>
    </row>
    <row r="3" spans="1:5" ht="13.5">
      <c r="A3" s="553" t="s">
        <v>417</v>
      </c>
      <c r="B3" s="553"/>
      <c r="C3" s="553"/>
      <c r="D3" s="553"/>
      <c r="E3" s="553"/>
    </row>
    <row r="4" spans="1:5" ht="14.25">
      <c r="A4" s="389"/>
      <c r="B4" s="390"/>
      <c r="C4" s="390"/>
      <c r="D4" s="390"/>
      <c r="E4" s="390"/>
    </row>
    <row r="5" spans="1:5" ht="14.25">
      <c r="A5" s="389" t="s">
        <v>278</v>
      </c>
      <c r="B5" s="390"/>
      <c r="C5" s="390"/>
      <c r="D5" s="390"/>
      <c r="E5" s="391" t="s">
        <v>145</v>
      </c>
    </row>
    <row r="6" spans="1:5" ht="23.25" customHeight="1">
      <c r="A6" s="554" t="s">
        <v>279</v>
      </c>
      <c r="B6" s="554"/>
      <c r="C6" s="554" t="s">
        <v>280</v>
      </c>
      <c r="D6" s="554" t="s">
        <v>281</v>
      </c>
      <c r="E6" s="554"/>
    </row>
    <row r="7" spans="1:5" ht="23.25" customHeight="1">
      <c r="A7" s="392" t="s">
        <v>282</v>
      </c>
      <c r="B7" s="392" t="s">
        <v>283</v>
      </c>
      <c r="C7" s="554"/>
      <c r="D7" s="392" t="s">
        <v>283</v>
      </c>
      <c r="E7" s="392" t="s">
        <v>282</v>
      </c>
    </row>
    <row r="8" spans="1:5" ht="23.25" customHeight="1">
      <c r="A8" s="393">
        <f>+A9+A26</f>
        <v>162551556468</v>
      </c>
      <c r="B8" s="393">
        <f>+B9+B26</f>
        <v>483961506104</v>
      </c>
      <c r="C8" s="394" t="s">
        <v>284</v>
      </c>
      <c r="D8" s="393">
        <f>+D9+D26</f>
        <v>335680528515</v>
      </c>
      <c r="E8" s="393">
        <f>+E9+E26</f>
        <v>14270578879</v>
      </c>
    </row>
    <row r="9" spans="1:5" ht="23.25" customHeight="1">
      <c r="A9" s="395">
        <f>+A10+A23</f>
        <v>20767112712</v>
      </c>
      <c r="B9" s="395">
        <f>+B10+B23</f>
        <v>296971164149</v>
      </c>
      <c r="C9" s="396" t="s">
        <v>285</v>
      </c>
      <c r="D9" s="395">
        <f>+D10+D23</f>
        <v>276204051437</v>
      </c>
      <c r="E9" s="395"/>
    </row>
    <row r="10" spans="1:5" ht="23.25" customHeight="1">
      <c r="A10" s="395">
        <f>SUM(A11:A22)</f>
        <v>19920562316</v>
      </c>
      <c r="B10" s="395">
        <f>SUM(B11:B22)</f>
        <v>294100004772</v>
      </c>
      <c r="C10" s="396" t="s">
        <v>286</v>
      </c>
      <c r="D10" s="395">
        <f>SUM(D11:D22)</f>
        <v>274179442456</v>
      </c>
      <c r="E10" s="395">
        <f>SUM(E11:E22)</f>
        <v>0</v>
      </c>
    </row>
    <row r="11" spans="1:5" ht="23.25" customHeight="1">
      <c r="A11" s="397">
        <f>+B11-D11</f>
        <v>7157700</v>
      </c>
      <c r="B11" s="397">
        <v>155218830</v>
      </c>
      <c r="C11" s="398" t="s">
        <v>287</v>
      </c>
      <c r="D11" s="397">
        <v>148061130</v>
      </c>
      <c r="E11" s="397"/>
    </row>
    <row r="12" spans="1:5" ht="23.25" customHeight="1">
      <c r="A12" s="397">
        <f aca="true" t="shared" si="0" ref="A12:A22">+B12-D12</f>
        <v>16663041803</v>
      </c>
      <c r="B12" s="397">
        <v>278281430665</v>
      </c>
      <c r="C12" s="398" t="s">
        <v>288</v>
      </c>
      <c r="D12" s="397">
        <v>261618388862</v>
      </c>
      <c r="E12" s="397"/>
    </row>
    <row r="13" spans="1:5" ht="23.25" customHeight="1">
      <c r="A13" s="397">
        <f t="shared" si="0"/>
        <v>1761365000</v>
      </c>
      <c r="B13" s="397">
        <v>3111365000</v>
      </c>
      <c r="C13" s="398" t="s">
        <v>289</v>
      </c>
      <c r="D13" s="397">
        <v>1350000000</v>
      </c>
      <c r="E13" s="397"/>
    </row>
    <row r="14" spans="1:5" ht="23.25" customHeight="1">
      <c r="A14" s="397">
        <f t="shared" si="0"/>
        <v>270266269</v>
      </c>
      <c r="B14" s="397">
        <v>2779094797</v>
      </c>
      <c r="C14" s="398" t="s">
        <v>290</v>
      </c>
      <c r="D14" s="397">
        <v>2508828528</v>
      </c>
      <c r="E14" s="397"/>
    </row>
    <row r="15" spans="1:5" ht="23.25" customHeight="1">
      <c r="A15" s="397">
        <f t="shared" si="0"/>
        <v>0</v>
      </c>
      <c r="B15" s="397">
        <v>267351574</v>
      </c>
      <c r="C15" s="398" t="s">
        <v>439</v>
      </c>
      <c r="D15" s="397">
        <v>267351574</v>
      </c>
      <c r="E15" s="397"/>
    </row>
    <row r="16" spans="1:5" ht="23.25" customHeight="1">
      <c r="A16" s="397">
        <f t="shared" si="0"/>
        <v>448709930</v>
      </c>
      <c r="B16" s="397">
        <v>448709930</v>
      </c>
      <c r="C16" s="398" t="s">
        <v>291</v>
      </c>
      <c r="D16" s="397"/>
      <c r="E16" s="397"/>
    </row>
    <row r="17" spans="1:5" ht="23.25" customHeight="1">
      <c r="A17" s="397">
        <f t="shared" si="0"/>
        <v>122267700</v>
      </c>
      <c r="B17" s="397">
        <f>6422205156+842034761</f>
        <v>7264239917</v>
      </c>
      <c r="C17" s="398" t="s">
        <v>292</v>
      </c>
      <c r="D17" s="397">
        <f>6335692642+806279575</f>
        <v>7141972217</v>
      </c>
      <c r="E17" s="397"/>
    </row>
    <row r="18" spans="1:5" ht="23.25" customHeight="1">
      <c r="A18" s="397">
        <f t="shared" si="0"/>
        <v>0</v>
      </c>
      <c r="B18" s="397">
        <v>306114635</v>
      </c>
      <c r="C18" s="398" t="s">
        <v>293</v>
      </c>
      <c r="D18" s="397">
        <v>306114635</v>
      </c>
      <c r="E18" s="397"/>
    </row>
    <row r="19" spans="1:5" ht="23.25" customHeight="1">
      <c r="A19" s="397">
        <f t="shared" si="0"/>
        <v>21804724</v>
      </c>
      <c r="B19" s="397">
        <v>41619469</v>
      </c>
      <c r="C19" s="398" t="s">
        <v>294</v>
      </c>
      <c r="D19" s="397">
        <v>19814745</v>
      </c>
      <c r="E19" s="397"/>
    </row>
    <row r="20" spans="1:5" ht="23.25" customHeight="1">
      <c r="A20" s="397">
        <f>+B20-D20</f>
        <v>0</v>
      </c>
      <c r="B20" s="397">
        <v>198309885</v>
      </c>
      <c r="C20" s="398" t="s">
        <v>295</v>
      </c>
      <c r="D20" s="397">
        <v>198309885</v>
      </c>
      <c r="E20" s="397"/>
    </row>
    <row r="21" spans="1:5" ht="23.25" customHeight="1">
      <c r="A21" s="397">
        <f>+B21-D21</f>
        <v>569046130</v>
      </c>
      <c r="B21" s="397">
        <v>1133230350</v>
      </c>
      <c r="C21" s="398" t="s">
        <v>296</v>
      </c>
      <c r="D21" s="397">
        <v>564184220</v>
      </c>
      <c r="E21" s="397"/>
    </row>
    <row r="22" spans="1:5" ht="23.25" customHeight="1">
      <c r="A22" s="397">
        <f t="shared" si="0"/>
        <v>56903060</v>
      </c>
      <c r="B22" s="397">
        <v>113319720</v>
      </c>
      <c r="C22" s="398" t="s">
        <v>297</v>
      </c>
      <c r="D22" s="397">
        <v>56416660</v>
      </c>
      <c r="E22" s="397"/>
    </row>
    <row r="23" spans="1:5" ht="23.25" customHeight="1">
      <c r="A23" s="395">
        <f>+A24+A25</f>
        <v>846550396</v>
      </c>
      <c r="B23" s="395">
        <f>SUM(B24:B25)</f>
        <v>2871159377</v>
      </c>
      <c r="C23" s="396" t="s">
        <v>298</v>
      </c>
      <c r="D23" s="395">
        <f>SUM(D24:D25)</f>
        <v>2024608981</v>
      </c>
      <c r="E23" s="395">
        <f>SUM(E24:E25)</f>
        <v>0</v>
      </c>
    </row>
    <row r="24" spans="1:5" ht="23.25" customHeight="1">
      <c r="A24" s="397">
        <f>+B24-D24</f>
        <v>380662350</v>
      </c>
      <c r="B24" s="397">
        <v>382271747</v>
      </c>
      <c r="C24" s="398" t="s">
        <v>299</v>
      </c>
      <c r="D24" s="397">
        <v>1609397</v>
      </c>
      <c r="E24" s="397"/>
    </row>
    <row r="25" spans="1:5" ht="23.25" customHeight="1">
      <c r="A25" s="397">
        <f>+B25-D25</f>
        <v>465888046</v>
      </c>
      <c r="B25" s="397">
        <v>2488887630</v>
      </c>
      <c r="C25" s="398" t="s">
        <v>300</v>
      </c>
      <c r="D25" s="397">
        <v>2022999584</v>
      </c>
      <c r="E25" s="397"/>
    </row>
    <row r="26" spans="1:5" ht="23.25" customHeight="1">
      <c r="A26" s="395">
        <f>+A27+A33+A50</f>
        <v>141784443756</v>
      </c>
      <c r="B26" s="395">
        <f>+B27+B33+B50</f>
        <v>186990341955</v>
      </c>
      <c r="C26" s="396" t="s">
        <v>301</v>
      </c>
      <c r="D26" s="395">
        <f>+D27+D33+D50</f>
        <v>59476477078</v>
      </c>
      <c r="E26" s="395">
        <f>+E27+E33+E50</f>
        <v>14270578879</v>
      </c>
    </row>
    <row r="27" spans="1:5" ht="23.25" customHeight="1">
      <c r="A27" s="395">
        <f>SUM(A28:A32)</f>
        <v>105917568252</v>
      </c>
      <c r="B27" s="395">
        <f>SUM(B28:B32)</f>
        <v>149293183025</v>
      </c>
      <c r="C27" s="396" t="s">
        <v>302</v>
      </c>
      <c r="D27" s="395">
        <f>SUM(D28:D32)</f>
        <v>43375614773</v>
      </c>
      <c r="E27" s="395">
        <f>SUM(E28:E32)</f>
        <v>0</v>
      </c>
    </row>
    <row r="28" spans="1:5" ht="23.25" customHeight="1">
      <c r="A28" s="397">
        <f aca="true" t="shared" si="1" ref="A28:A53">+B28-D28</f>
        <v>105112773739</v>
      </c>
      <c r="B28" s="397">
        <v>148433653192</v>
      </c>
      <c r="C28" s="398" t="s">
        <v>303</v>
      </c>
      <c r="D28" s="397">
        <v>43320879453</v>
      </c>
      <c r="E28" s="397"/>
    </row>
    <row r="29" spans="1:5" ht="23.25" customHeight="1">
      <c r="A29" s="397">
        <f t="shared" si="1"/>
        <v>671843313</v>
      </c>
      <c r="B29" s="397">
        <v>723736133</v>
      </c>
      <c r="C29" s="398" t="s">
        <v>304</v>
      </c>
      <c r="D29" s="397">
        <v>51892820</v>
      </c>
      <c r="E29" s="397"/>
    </row>
    <row r="30" spans="1:5" ht="23.25" customHeight="1">
      <c r="A30" s="397">
        <f>+B30-D30</f>
        <v>0</v>
      </c>
      <c r="B30" s="397"/>
      <c r="C30" s="398" t="s">
        <v>305</v>
      </c>
      <c r="D30" s="397"/>
      <c r="E30" s="397"/>
    </row>
    <row r="31" spans="1:5" ht="23.25" customHeight="1">
      <c r="A31" s="397">
        <f t="shared" si="1"/>
        <v>3031200</v>
      </c>
      <c r="B31" s="397">
        <v>5873700</v>
      </c>
      <c r="C31" s="398" t="s">
        <v>306</v>
      </c>
      <c r="D31" s="397">
        <v>2842500</v>
      </c>
      <c r="E31" s="397"/>
    </row>
    <row r="32" spans="1:5" ht="23.25" customHeight="1">
      <c r="A32" s="397">
        <f t="shared" si="1"/>
        <v>129920000</v>
      </c>
      <c r="B32" s="397">
        <v>129920000</v>
      </c>
      <c r="C32" s="398" t="s">
        <v>307</v>
      </c>
      <c r="D32" s="397"/>
      <c r="E32" s="397"/>
    </row>
    <row r="33" spans="1:5" ht="23.25" customHeight="1">
      <c r="A33" s="395">
        <f>SUM(A34:A49)</f>
        <v>35765987504</v>
      </c>
      <c r="B33" s="395">
        <f>SUM(B34:B49)</f>
        <v>37560704530</v>
      </c>
      <c r="C33" s="396" t="s">
        <v>308</v>
      </c>
      <c r="D33" s="395">
        <f>SUM(D34:D49)</f>
        <v>16065295905</v>
      </c>
      <c r="E33" s="395">
        <f>SUM(E34:E49)</f>
        <v>14270578879</v>
      </c>
    </row>
    <row r="34" spans="1:5" ht="23.25" customHeight="1">
      <c r="A34" s="397">
        <f t="shared" si="1"/>
        <v>6011551453</v>
      </c>
      <c r="B34" s="397">
        <v>6011551453</v>
      </c>
      <c r="C34" s="398" t="s">
        <v>309</v>
      </c>
      <c r="D34" s="397"/>
      <c r="E34" s="397"/>
    </row>
    <row r="35" spans="1:5" ht="23.25" customHeight="1">
      <c r="A35" s="397">
        <f t="shared" si="1"/>
        <v>11712745549</v>
      </c>
      <c r="B35" s="397">
        <v>11712745549</v>
      </c>
      <c r="C35" s="398" t="s">
        <v>310</v>
      </c>
      <c r="D35" s="397"/>
      <c r="E35" s="397"/>
    </row>
    <row r="36" spans="1:5" ht="23.25" customHeight="1">
      <c r="A36" s="397"/>
      <c r="B36" s="397"/>
      <c r="C36" s="398" t="s">
        <v>311</v>
      </c>
      <c r="D36" s="397">
        <v>5270735484</v>
      </c>
      <c r="E36" s="397">
        <f>+D36</f>
        <v>5270735484</v>
      </c>
    </row>
    <row r="37" spans="1:5" ht="23.25" customHeight="1">
      <c r="A37" s="397">
        <f t="shared" si="1"/>
        <v>490522143</v>
      </c>
      <c r="B37" s="397">
        <v>505899143</v>
      </c>
      <c r="C37" s="398" t="s">
        <v>312</v>
      </c>
      <c r="D37" s="397">
        <v>15377000</v>
      </c>
      <c r="E37" s="397"/>
    </row>
    <row r="38" spans="1:5" ht="23.25" customHeight="1">
      <c r="A38" s="397"/>
      <c r="B38" s="397">
        <v>15376000</v>
      </c>
      <c r="C38" s="398" t="s">
        <v>311</v>
      </c>
      <c r="D38" s="397">
        <v>505869143</v>
      </c>
      <c r="E38" s="397">
        <f>+D38-B38</f>
        <v>490493143</v>
      </c>
    </row>
    <row r="39" spans="1:5" ht="23.25" customHeight="1">
      <c r="A39" s="397">
        <f t="shared" si="1"/>
        <v>80080671</v>
      </c>
      <c r="B39" s="397">
        <v>80080671</v>
      </c>
      <c r="C39" s="398" t="s">
        <v>313</v>
      </c>
      <c r="D39" s="397"/>
      <c r="E39" s="397"/>
    </row>
    <row r="40" spans="1:5" ht="23.25" customHeight="1">
      <c r="A40" s="397"/>
      <c r="B40" s="397"/>
      <c r="C40" s="398" t="s">
        <v>311</v>
      </c>
      <c r="D40" s="397">
        <v>55416414</v>
      </c>
      <c r="E40" s="397">
        <f>+D40</f>
        <v>55416414</v>
      </c>
    </row>
    <row r="41" spans="1:5" ht="23.25" customHeight="1">
      <c r="A41" s="397">
        <f t="shared" si="1"/>
        <v>211551406</v>
      </c>
      <c r="B41" s="397">
        <v>224749406</v>
      </c>
      <c r="C41" s="398" t="s">
        <v>314</v>
      </c>
      <c r="D41" s="397">
        <v>13198000</v>
      </c>
      <c r="E41" s="397"/>
    </row>
    <row r="42" spans="1:5" ht="23.25" customHeight="1">
      <c r="A42" s="397"/>
      <c r="B42" s="397">
        <v>13191000</v>
      </c>
      <c r="C42" s="398" t="s">
        <v>311</v>
      </c>
      <c r="D42" s="397">
        <v>221141526</v>
      </c>
      <c r="E42" s="397">
        <f>+D42-B42</f>
        <v>207950526</v>
      </c>
    </row>
    <row r="43" spans="1:5" ht="23.25" customHeight="1">
      <c r="A43" s="397">
        <f t="shared" si="1"/>
        <v>5267276647</v>
      </c>
      <c r="B43" s="397">
        <v>6136435941</v>
      </c>
      <c r="C43" s="398" t="s">
        <v>315</v>
      </c>
      <c r="D43" s="397">
        <v>869159294</v>
      </c>
      <c r="E43" s="397"/>
    </row>
    <row r="44" spans="1:5" ht="23.25" customHeight="1">
      <c r="A44" s="397"/>
      <c r="B44" s="397">
        <v>868415732</v>
      </c>
      <c r="C44" s="398" t="s">
        <v>311</v>
      </c>
      <c r="D44" s="397">
        <v>5268686689</v>
      </c>
      <c r="E44" s="397">
        <f>+D44-B44</f>
        <v>4400270957</v>
      </c>
    </row>
    <row r="45" spans="1:5" ht="23.25" customHeight="1">
      <c r="A45" s="397">
        <f t="shared" si="1"/>
        <v>69390000</v>
      </c>
      <c r="B45" s="397">
        <v>69390000</v>
      </c>
      <c r="C45" s="398" t="s">
        <v>316</v>
      </c>
      <c r="D45" s="397"/>
      <c r="E45" s="397"/>
    </row>
    <row r="46" spans="1:5" ht="23.25" customHeight="1">
      <c r="A46" s="397">
        <f t="shared" si="1"/>
        <v>4822496055</v>
      </c>
      <c r="B46" s="397">
        <v>4822496055</v>
      </c>
      <c r="C46" s="398" t="s">
        <v>317</v>
      </c>
      <c r="D46" s="397"/>
      <c r="E46" s="397"/>
    </row>
    <row r="47" spans="1:5" ht="23.25" customHeight="1">
      <c r="A47" s="397">
        <f t="shared" si="1"/>
        <v>3254652435</v>
      </c>
      <c r="B47" s="397">
        <v>3254652435</v>
      </c>
      <c r="C47" s="398" t="s">
        <v>318</v>
      </c>
      <c r="D47" s="397"/>
      <c r="E47" s="397"/>
    </row>
    <row r="48" spans="1:5" ht="23.25" customHeight="1">
      <c r="A48" s="397">
        <f t="shared" si="1"/>
        <v>3845721145</v>
      </c>
      <c r="B48" s="397">
        <v>3845721145</v>
      </c>
      <c r="C48" s="398" t="s">
        <v>319</v>
      </c>
      <c r="D48" s="397"/>
      <c r="E48" s="397"/>
    </row>
    <row r="49" spans="1:5" ht="23.25" customHeight="1">
      <c r="A49" s="397"/>
      <c r="B49" s="397"/>
      <c r="C49" s="398" t="s">
        <v>320</v>
      </c>
      <c r="D49" s="397">
        <v>3845712355</v>
      </c>
      <c r="E49" s="397">
        <f>+D49</f>
        <v>3845712355</v>
      </c>
    </row>
    <row r="50" spans="1:5" ht="23.25" customHeight="1">
      <c r="A50" s="395">
        <f>SUM(A51:A53)</f>
        <v>100888000</v>
      </c>
      <c r="B50" s="395">
        <f>SUM(B51:B53)</f>
        <v>136454400</v>
      </c>
      <c r="C50" s="396" t="s">
        <v>321</v>
      </c>
      <c r="D50" s="395">
        <f>SUM(D51:D53)</f>
        <v>35566400</v>
      </c>
      <c r="E50" s="395">
        <f>SUM(E51:E53)</f>
        <v>0</v>
      </c>
    </row>
    <row r="51" spans="1:5" ht="23.25" customHeight="1">
      <c r="A51" s="397">
        <f t="shared" si="1"/>
        <v>100000000</v>
      </c>
      <c r="B51" s="397">
        <v>135000000</v>
      </c>
      <c r="C51" s="398" t="s">
        <v>322</v>
      </c>
      <c r="D51" s="397">
        <v>35000000</v>
      </c>
      <c r="E51" s="397"/>
    </row>
    <row r="52" spans="1:5" ht="23.25" customHeight="1">
      <c r="A52" s="397">
        <f t="shared" si="1"/>
        <v>0</v>
      </c>
      <c r="B52" s="397">
        <v>566400</v>
      </c>
      <c r="C52" s="398" t="s">
        <v>323</v>
      </c>
      <c r="D52" s="397">
        <v>566400</v>
      </c>
      <c r="E52" s="397"/>
    </row>
    <row r="53" spans="1:5" ht="23.25" customHeight="1">
      <c r="A53" s="397">
        <f t="shared" si="1"/>
        <v>888000</v>
      </c>
      <c r="B53" s="397">
        <v>888000</v>
      </c>
      <c r="C53" s="398" t="s">
        <v>324</v>
      </c>
      <c r="D53" s="397"/>
      <c r="E53" s="397"/>
    </row>
    <row r="54" spans="1:5" ht="23.25" customHeight="1">
      <c r="A54" s="393">
        <f>+A55+A66</f>
        <v>0</v>
      </c>
      <c r="B54" s="393">
        <f>+B55+B66</f>
        <v>49717724886</v>
      </c>
      <c r="C54" s="394" t="s">
        <v>325</v>
      </c>
      <c r="D54" s="393">
        <f>+D55+D66</f>
        <v>64601817223</v>
      </c>
      <c r="E54" s="393">
        <f>+E55+E66</f>
        <v>14884092337</v>
      </c>
    </row>
    <row r="55" spans="1:5" ht="23.25" customHeight="1">
      <c r="A55" s="395">
        <f>SUM(A56:A65)</f>
        <v>0</v>
      </c>
      <c r="B55" s="395">
        <f>SUM(B56:B65)</f>
        <v>48593712420</v>
      </c>
      <c r="C55" s="396" t="s">
        <v>326</v>
      </c>
      <c r="D55" s="395">
        <f>SUM(D56:D65)</f>
        <v>55236284131</v>
      </c>
      <c r="E55" s="395">
        <f>SUM(E56:E65)</f>
        <v>6642571711</v>
      </c>
    </row>
    <row r="56" spans="1:5" ht="23.25" customHeight="1">
      <c r="A56" s="397"/>
      <c r="B56" s="397">
        <v>3294685040</v>
      </c>
      <c r="C56" s="398" t="s">
        <v>327</v>
      </c>
      <c r="D56" s="397">
        <v>3812286292</v>
      </c>
      <c r="E56" s="397">
        <f>+D56-B56</f>
        <v>517601252</v>
      </c>
    </row>
    <row r="57" spans="1:5" ht="23.25" customHeight="1">
      <c r="A57" s="397"/>
      <c r="B57" s="397">
        <f>2098607319+262096510+1193500+14000</f>
        <v>2361911329</v>
      </c>
      <c r="C57" s="398" t="s">
        <v>328</v>
      </c>
      <c r="D57" s="397">
        <f>2222446206+306828550+1193500+14000</f>
        <v>2530482256</v>
      </c>
      <c r="E57" s="397">
        <f aca="true" t="shared" si="2" ref="E57:E65">+D57-B57</f>
        <v>168570927</v>
      </c>
    </row>
    <row r="58" spans="1:5" ht="23.25" customHeight="1">
      <c r="A58" s="397"/>
      <c r="B58" s="397">
        <v>422592676</v>
      </c>
      <c r="C58" s="398" t="s">
        <v>329</v>
      </c>
      <c r="D58" s="397">
        <v>422592676</v>
      </c>
      <c r="E58" s="397">
        <f t="shared" si="2"/>
        <v>0</v>
      </c>
    </row>
    <row r="59" spans="1:5" ht="23.25" customHeight="1">
      <c r="A59" s="397"/>
      <c r="B59" s="397">
        <v>55893061</v>
      </c>
      <c r="C59" s="398" t="s">
        <v>330</v>
      </c>
      <c r="D59" s="397">
        <v>209985528</v>
      </c>
      <c r="E59" s="397">
        <f t="shared" si="2"/>
        <v>154092467</v>
      </c>
    </row>
    <row r="60" spans="1:5" ht="23.25" customHeight="1">
      <c r="A60" s="397"/>
      <c r="B60" s="397">
        <f>435622586+16086191908+18961739678</f>
        <v>35483554172</v>
      </c>
      <c r="C60" s="398" t="s">
        <v>331</v>
      </c>
      <c r="D60" s="397">
        <f>474423767+16246831229+21180081147</f>
        <v>37901336143</v>
      </c>
      <c r="E60" s="397">
        <f t="shared" si="2"/>
        <v>2417781971</v>
      </c>
    </row>
    <row r="61" spans="1:5" ht="23.25" customHeight="1">
      <c r="A61" s="397"/>
      <c r="B61" s="397">
        <v>55800</v>
      </c>
      <c r="C61" s="398" t="s">
        <v>332</v>
      </c>
      <c r="D61" s="397">
        <v>563253</v>
      </c>
      <c r="E61" s="397">
        <f t="shared" si="2"/>
        <v>507453</v>
      </c>
    </row>
    <row r="62" spans="1:5" ht="23.25" customHeight="1">
      <c r="A62" s="397"/>
      <c r="B62" s="397"/>
      <c r="C62" s="398" t="s">
        <v>333</v>
      </c>
      <c r="D62" s="397"/>
      <c r="E62" s="397">
        <f t="shared" si="2"/>
        <v>0</v>
      </c>
    </row>
    <row r="63" spans="1:5" ht="23.25" customHeight="1">
      <c r="A63" s="397"/>
      <c r="B63" s="397">
        <v>158759899</v>
      </c>
      <c r="C63" s="398" t="s">
        <v>334</v>
      </c>
      <c r="D63" s="397">
        <v>725210819</v>
      </c>
      <c r="E63" s="397">
        <f t="shared" si="2"/>
        <v>566450920</v>
      </c>
    </row>
    <row r="64" spans="1:5" ht="23.25" customHeight="1">
      <c r="A64" s="397"/>
      <c r="B64" s="397">
        <v>499134226</v>
      </c>
      <c r="C64" s="398" t="s">
        <v>335</v>
      </c>
      <c r="D64" s="397">
        <v>1494274511</v>
      </c>
      <c r="E64" s="397">
        <f t="shared" si="2"/>
        <v>995140285</v>
      </c>
    </row>
    <row r="65" spans="1:5" ht="23.25" customHeight="1">
      <c r="A65" s="397"/>
      <c r="B65" s="397">
        <v>6317126217</v>
      </c>
      <c r="C65" s="398" t="s">
        <v>336</v>
      </c>
      <c r="D65" s="397">
        <f>8116506421+23046232</f>
        <v>8139552653</v>
      </c>
      <c r="E65" s="397">
        <f t="shared" si="2"/>
        <v>1822426436</v>
      </c>
    </row>
    <row r="66" spans="1:5" ht="23.25" customHeight="1">
      <c r="A66" s="395">
        <v>0</v>
      </c>
      <c r="B66" s="395">
        <f>SUM(B67:B68)</f>
        <v>1124012466</v>
      </c>
      <c r="C66" s="396" t="s">
        <v>337</v>
      </c>
      <c r="D66" s="395">
        <f>SUM(D67:D68)</f>
        <v>9365533092</v>
      </c>
      <c r="E66" s="395">
        <f>SUM(E67:E68)</f>
        <v>8241520626</v>
      </c>
    </row>
    <row r="67" spans="1:5" ht="23.25" customHeight="1">
      <c r="A67" s="397"/>
      <c r="B67" s="397">
        <v>741987950</v>
      </c>
      <c r="C67" s="398" t="s">
        <v>338</v>
      </c>
      <c r="D67" s="397">
        <v>3552105760</v>
      </c>
      <c r="E67" s="397">
        <f>+D67-B67</f>
        <v>2810117810</v>
      </c>
    </row>
    <row r="68" spans="1:5" ht="23.25" customHeight="1">
      <c r="A68" s="397"/>
      <c r="B68" s="397">
        <v>382024516</v>
      </c>
      <c r="C68" s="398" t="s">
        <v>339</v>
      </c>
      <c r="D68" s="397">
        <v>5813427332</v>
      </c>
      <c r="E68" s="397">
        <f>+D68-B68</f>
        <v>5431402816</v>
      </c>
    </row>
    <row r="69" spans="1:5" ht="23.25" customHeight="1">
      <c r="A69" s="393">
        <f>+A70+A73+A76+A78</f>
        <v>2256972045</v>
      </c>
      <c r="B69" s="393">
        <f>+B70+B73+B76+B78</f>
        <v>4163014472</v>
      </c>
      <c r="C69" s="394" t="s">
        <v>340</v>
      </c>
      <c r="D69" s="393">
        <f>+D70+D73+D76+D78</f>
        <v>137559899724</v>
      </c>
      <c r="E69" s="393">
        <f>+E70+E73+E76+E78</f>
        <v>135653857297</v>
      </c>
    </row>
    <row r="70" spans="1:5" ht="23.25" customHeight="1">
      <c r="A70" s="395">
        <v>0</v>
      </c>
      <c r="B70" s="395">
        <v>0</v>
      </c>
      <c r="C70" s="396" t="s">
        <v>341</v>
      </c>
      <c r="D70" s="395">
        <f>SUM(D71:D72)</f>
        <v>122009408459</v>
      </c>
      <c r="E70" s="395">
        <f>SUM(E71:E72)</f>
        <v>122009408459</v>
      </c>
    </row>
    <row r="71" spans="1:5" ht="23.25" customHeight="1">
      <c r="A71" s="397"/>
      <c r="B71" s="397"/>
      <c r="C71" s="398" t="s">
        <v>342</v>
      </c>
      <c r="D71" s="397">
        <v>500000000</v>
      </c>
      <c r="E71" s="397">
        <f>+D71</f>
        <v>500000000</v>
      </c>
    </row>
    <row r="72" spans="1:5" ht="23.25" customHeight="1">
      <c r="A72" s="397"/>
      <c r="B72" s="397"/>
      <c r="C72" s="398" t="s">
        <v>343</v>
      </c>
      <c r="D72" s="397">
        <v>121509408459</v>
      </c>
      <c r="E72" s="397">
        <f>+D72</f>
        <v>121509408459</v>
      </c>
    </row>
    <row r="73" spans="1:5" ht="23.25" customHeight="1">
      <c r="A73" s="395">
        <v>0</v>
      </c>
      <c r="B73" s="395">
        <v>0</v>
      </c>
      <c r="C73" s="396" t="s">
        <v>344</v>
      </c>
      <c r="D73" s="395">
        <f>SUM(D74:D75)</f>
        <v>11121228838</v>
      </c>
      <c r="E73" s="395">
        <f>SUM(E74:E75)</f>
        <v>11121228838</v>
      </c>
    </row>
    <row r="74" spans="1:5" ht="23.25" customHeight="1">
      <c r="A74" s="397"/>
      <c r="B74" s="397"/>
      <c r="C74" s="398" t="s">
        <v>345</v>
      </c>
      <c r="D74" s="397">
        <v>871481334</v>
      </c>
      <c r="E74" s="397">
        <f>+D74</f>
        <v>871481334</v>
      </c>
    </row>
    <row r="75" spans="1:5" ht="23.25" customHeight="1">
      <c r="A75" s="397"/>
      <c r="B75" s="397"/>
      <c r="C75" s="398" t="s">
        <v>346</v>
      </c>
      <c r="D75" s="397">
        <v>10249747504</v>
      </c>
      <c r="E75" s="397">
        <f>+D75</f>
        <v>10249747504</v>
      </c>
    </row>
    <row r="76" spans="1:5" ht="23.25" customHeight="1">
      <c r="A76" s="395">
        <v>0</v>
      </c>
      <c r="B76" s="395">
        <v>0</v>
      </c>
      <c r="C76" s="396" t="s">
        <v>347</v>
      </c>
      <c r="D76" s="395">
        <f>+D77</f>
        <v>23220000</v>
      </c>
      <c r="E76" s="395">
        <f>+E77</f>
        <v>23220000</v>
      </c>
    </row>
    <row r="77" spans="1:5" ht="23.25" customHeight="1">
      <c r="A77" s="397"/>
      <c r="B77" s="397"/>
      <c r="C77" s="398" t="s">
        <v>348</v>
      </c>
      <c r="D77" s="397">
        <v>23220000</v>
      </c>
      <c r="E77" s="397">
        <f>+D77</f>
        <v>23220000</v>
      </c>
    </row>
    <row r="78" spans="1:5" ht="23.25" customHeight="1">
      <c r="A78" s="395">
        <f>SUM(A79:A80)</f>
        <v>2256972045</v>
      </c>
      <c r="B78" s="395">
        <f>SUM(B79:B80)</f>
        <v>4163014472</v>
      </c>
      <c r="C78" s="396" t="s">
        <v>349</v>
      </c>
      <c r="D78" s="395">
        <f>SUM(D79:D80)</f>
        <v>4406042427</v>
      </c>
      <c r="E78" s="395">
        <f>SUM(E79:E80)</f>
        <v>2500000000</v>
      </c>
    </row>
    <row r="79" spans="1:8" ht="23.25" customHeight="1">
      <c r="A79" s="404"/>
      <c r="B79" s="404"/>
      <c r="C79" s="405" t="s">
        <v>350</v>
      </c>
      <c r="D79" s="404">
        <v>2500000000</v>
      </c>
      <c r="E79" s="404">
        <f>+D79-B79</f>
        <v>2500000000</v>
      </c>
      <c r="F79" s="406"/>
      <c r="G79" s="406"/>
      <c r="H79" s="406"/>
    </row>
    <row r="80" spans="1:8" ht="23.25" customHeight="1">
      <c r="A80" s="404">
        <f>+B80-D80</f>
        <v>2256972045</v>
      </c>
      <c r="B80" s="404">
        <f>2569560065+1043454407+550000000</f>
        <v>4163014472</v>
      </c>
      <c r="C80" s="405" t="s">
        <v>410</v>
      </c>
      <c r="D80" s="407">
        <v>1906042427</v>
      </c>
      <c r="E80" s="407"/>
      <c r="F80" s="406"/>
      <c r="G80" s="406"/>
      <c r="H80" s="406"/>
    </row>
    <row r="81" spans="1:5" ht="23.25" customHeight="1">
      <c r="A81" s="393">
        <f>+A82+A90+A94+A121+A157+A183+A187</f>
        <v>0</v>
      </c>
      <c r="B81" s="393">
        <f>+B82+B90+B94+B121+B157+B183+B187+B152</f>
        <v>144740929257</v>
      </c>
      <c r="C81" s="394" t="s">
        <v>351</v>
      </c>
      <c r="D81" s="393">
        <f>+D82+D90+D94+D121+D157+D183+D187+D152</f>
        <v>144740929257</v>
      </c>
      <c r="E81" s="393">
        <f>+E82+E90+E94+E121+E157+E183+E187</f>
        <v>0</v>
      </c>
    </row>
    <row r="82" spans="1:5" ht="23.25" customHeight="1">
      <c r="A82" s="399"/>
      <c r="B82" s="399">
        <f>SUM(B83:B89)</f>
        <v>48710368290</v>
      </c>
      <c r="C82" s="400" t="s">
        <v>352</v>
      </c>
      <c r="D82" s="399">
        <f>SUM(D83:D89)</f>
        <v>48710368290</v>
      </c>
      <c r="E82" s="399"/>
    </row>
    <row r="83" spans="1:5" ht="23.25" customHeight="1">
      <c r="A83" s="397"/>
      <c r="B83" s="397">
        <v>3845945413</v>
      </c>
      <c r="C83" s="401" t="s">
        <v>353</v>
      </c>
      <c r="D83" s="397">
        <v>3845945413</v>
      </c>
      <c r="E83" s="397"/>
    </row>
    <row r="84" spans="1:5" ht="23.25" customHeight="1">
      <c r="A84" s="397"/>
      <c r="B84" s="397">
        <v>271039600</v>
      </c>
      <c r="C84" s="401" t="s">
        <v>78</v>
      </c>
      <c r="D84" s="397">
        <v>271039600</v>
      </c>
      <c r="E84" s="397"/>
    </row>
    <row r="85" spans="1:5" ht="23.25" customHeight="1">
      <c r="A85" s="397"/>
      <c r="B85" s="397">
        <f>53350364+816819727+101418056+382997912+81176875+12664922+5778451</f>
        <v>1454206307</v>
      </c>
      <c r="C85" s="401" t="s">
        <v>119</v>
      </c>
      <c r="D85" s="397">
        <f>53350364+816819727+101418056+382997912+81176875+12664922+5778451</f>
        <v>1454206307</v>
      </c>
      <c r="E85" s="397"/>
    </row>
    <row r="86" spans="1:5" ht="23.25" customHeight="1">
      <c r="A86" s="397"/>
      <c r="B86" s="397">
        <f>333059916+767443738+482111445+123385430+3302659+18761874+1282271</f>
        <v>1729347333</v>
      </c>
      <c r="C86" s="401" t="s">
        <v>182</v>
      </c>
      <c r="D86" s="397">
        <f>333059916+767443738+482111445+123385430+3302659+18761874+1282271</f>
        <v>1729347333</v>
      </c>
      <c r="E86" s="397"/>
    </row>
    <row r="87" spans="1:5" ht="23.25" customHeight="1">
      <c r="A87" s="397"/>
      <c r="B87" s="397">
        <v>4360000</v>
      </c>
      <c r="C87" s="401" t="s">
        <v>123</v>
      </c>
      <c r="D87" s="397">
        <v>4360000</v>
      </c>
      <c r="E87" s="397"/>
    </row>
    <row r="88" spans="1:5" ht="23.25" customHeight="1">
      <c r="A88" s="397"/>
      <c r="B88" s="397">
        <v>1228469637</v>
      </c>
      <c r="C88" s="401" t="s">
        <v>179</v>
      </c>
      <c r="D88" s="397">
        <v>1228469637</v>
      </c>
      <c r="E88" s="397"/>
    </row>
    <row r="89" spans="1:5" ht="23.25" customHeight="1">
      <c r="A89" s="397"/>
      <c r="B89" s="397">
        <v>40177000000</v>
      </c>
      <c r="C89" s="401" t="s">
        <v>108</v>
      </c>
      <c r="D89" s="397">
        <v>40177000000</v>
      </c>
      <c r="E89" s="397"/>
    </row>
    <row r="90" spans="1:5" ht="23.25" customHeight="1">
      <c r="A90" s="397">
        <f>SUM(A91:A93)</f>
        <v>0</v>
      </c>
      <c r="B90" s="399">
        <f>SUM(B91:B93)</f>
        <v>45013049100</v>
      </c>
      <c r="C90" s="400" t="s">
        <v>354</v>
      </c>
      <c r="D90" s="399">
        <f>SUM(D91:D93)</f>
        <v>45013049100</v>
      </c>
      <c r="E90" s="397">
        <f>SUM(E91:E93)</f>
        <v>0</v>
      </c>
    </row>
    <row r="91" spans="1:5" ht="23.25" customHeight="1">
      <c r="A91" s="397"/>
      <c r="B91" s="397">
        <v>1864239685</v>
      </c>
      <c r="C91" s="398" t="s">
        <v>355</v>
      </c>
      <c r="D91" s="397">
        <v>1864239685</v>
      </c>
      <c r="E91" s="397"/>
    </row>
    <row r="92" spans="1:5" ht="23.25" customHeight="1">
      <c r="A92" s="397"/>
      <c r="B92" s="397">
        <f>+B121</f>
        <v>42649050501</v>
      </c>
      <c r="C92" s="398" t="s">
        <v>356</v>
      </c>
      <c r="D92" s="397">
        <f>+D121</f>
        <v>42649050501</v>
      </c>
      <c r="E92" s="397"/>
    </row>
    <row r="93" spans="1:5" ht="23.25" customHeight="1">
      <c r="A93" s="397"/>
      <c r="B93" s="397">
        <f>+B152</f>
        <v>499758914</v>
      </c>
      <c r="C93" s="398" t="s">
        <v>357</v>
      </c>
      <c r="D93" s="397">
        <f>+D152</f>
        <v>499758914</v>
      </c>
      <c r="E93" s="397"/>
    </row>
    <row r="94" spans="1:5" ht="23.25" customHeight="1">
      <c r="A94" s="399">
        <f>SUM(A95:A120)</f>
        <v>0</v>
      </c>
      <c r="B94" s="399">
        <f>SUM(B95:B120)</f>
        <v>2151908577</v>
      </c>
      <c r="C94" s="400" t="s">
        <v>358</v>
      </c>
      <c r="D94" s="399">
        <f>SUM(D95:D120)</f>
        <v>2151908577</v>
      </c>
      <c r="E94" s="399">
        <f>SUM(E95:E120)</f>
        <v>0</v>
      </c>
    </row>
    <row r="95" spans="1:5" ht="23.25" customHeight="1">
      <c r="A95" s="397"/>
      <c r="B95" s="397">
        <v>408224760</v>
      </c>
      <c r="C95" s="398" t="s">
        <v>359</v>
      </c>
      <c r="D95" s="397">
        <v>408224760</v>
      </c>
      <c r="E95" s="397"/>
    </row>
    <row r="96" spans="1:5" ht="23.25" customHeight="1">
      <c r="A96" s="397"/>
      <c r="B96" s="397">
        <v>327176370</v>
      </c>
      <c r="C96" s="398" t="s">
        <v>360</v>
      </c>
      <c r="D96" s="397">
        <v>327176370</v>
      </c>
      <c r="E96" s="397"/>
    </row>
    <row r="97" spans="1:5" ht="23.25" customHeight="1">
      <c r="A97" s="397"/>
      <c r="B97" s="397">
        <v>50719493</v>
      </c>
      <c r="C97" s="398" t="s">
        <v>65</v>
      </c>
      <c r="D97" s="397">
        <v>50719493</v>
      </c>
      <c r="E97" s="397"/>
    </row>
    <row r="98" spans="1:5" ht="23.25" customHeight="1">
      <c r="A98" s="397"/>
      <c r="B98" s="397">
        <v>6748010</v>
      </c>
      <c r="C98" s="398" t="s">
        <v>361</v>
      </c>
      <c r="D98" s="397">
        <v>6748010</v>
      </c>
      <c r="E98" s="397"/>
    </row>
    <row r="99" spans="1:5" ht="23.25" customHeight="1">
      <c r="A99" s="397"/>
      <c r="B99" s="397">
        <v>89407434</v>
      </c>
      <c r="C99" s="398" t="s">
        <v>362</v>
      </c>
      <c r="D99" s="397">
        <v>89407434</v>
      </c>
      <c r="E99" s="397"/>
    </row>
    <row r="100" spans="1:5" ht="23.25" customHeight="1">
      <c r="A100" s="397"/>
      <c r="B100" s="397">
        <v>80552920</v>
      </c>
      <c r="C100" s="398" t="s">
        <v>363</v>
      </c>
      <c r="D100" s="397">
        <v>80552920</v>
      </c>
      <c r="E100" s="397"/>
    </row>
    <row r="101" spans="1:5" ht="23.25" customHeight="1">
      <c r="A101" s="397"/>
      <c r="B101" s="397"/>
      <c r="C101" s="398" t="s">
        <v>364</v>
      </c>
      <c r="D101" s="397"/>
      <c r="E101" s="397"/>
    </row>
    <row r="102" spans="1:5" ht="23.25" customHeight="1">
      <c r="A102" s="397"/>
      <c r="B102" s="397">
        <v>521841</v>
      </c>
      <c r="C102" s="398" t="s">
        <v>365</v>
      </c>
      <c r="D102" s="397">
        <v>521841</v>
      </c>
      <c r="E102" s="397"/>
    </row>
    <row r="103" spans="1:5" ht="23.25" customHeight="1">
      <c r="A103" s="397"/>
      <c r="B103" s="397">
        <v>2567106</v>
      </c>
      <c r="C103" s="398" t="s">
        <v>366</v>
      </c>
      <c r="D103" s="397">
        <v>2567106</v>
      </c>
      <c r="E103" s="397"/>
    </row>
    <row r="104" spans="1:5" ht="23.25" customHeight="1">
      <c r="A104" s="397"/>
      <c r="B104" s="397"/>
      <c r="C104" s="398" t="s">
        <v>367</v>
      </c>
      <c r="D104" s="397"/>
      <c r="E104" s="397"/>
    </row>
    <row r="105" spans="1:5" ht="23.25" customHeight="1">
      <c r="A105" s="397"/>
      <c r="B105" s="397">
        <v>15955193</v>
      </c>
      <c r="C105" s="398" t="s">
        <v>368</v>
      </c>
      <c r="D105" s="397">
        <v>15955193</v>
      </c>
      <c r="E105" s="397"/>
    </row>
    <row r="106" spans="1:5" ht="23.25" customHeight="1">
      <c r="A106" s="397"/>
      <c r="B106" s="397">
        <v>215645574</v>
      </c>
      <c r="C106" s="398" t="s">
        <v>369</v>
      </c>
      <c r="D106" s="397">
        <v>215645574</v>
      </c>
      <c r="E106" s="397"/>
    </row>
    <row r="107" spans="1:5" ht="23.25" customHeight="1">
      <c r="A107" s="397"/>
      <c r="B107" s="397">
        <v>247527173</v>
      </c>
      <c r="C107" s="398" t="s">
        <v>370</v>
      </c>
      <c r="D107" s="397">
        <v>247527173</v>
      </c>
      <c r="E107" s="397"/>
    </row>
    <row r="108" spans="1:5" ht="23.25" customHeight="1">
      <c r="A108" s="397"/>
      <c r="B108" s="397">
        <v>8301320</v>
      </c>
      <c r="C108" s="398" t="s">
        <v>371</v>
      </c>
      <c r="D108" s="397">
        <v>8301320</v>
      </c>
      <c r="E108" s="397"/>
    </row>
    <row r="109" spans="1:5" ht="23.25" customHeight="1">
      <c r="A109" s="397"/>
      <c r="B109" s="397"/>
      <c r="C109" s="398" t="s">
        <v>372</v>
      </c>
      <c r="D109" s="397"/>
      <c r="E109" s="397"/>
    </row>
    <row r="110" spans="1:5" ht="23.25" customHeight="1">
      <c r="A110" s="397"/>
      <c r="B110" s="397">
        <v>12181227</v>
      </c>
      <c r="C110" s="398" t="s">
        <v>373</v>
      </c>
      <c r="D110" s="397">
        <v>12181227</v>
      </c>
      <c r="E110" s="397"/>
    </row>
    <row r="111" spans="1:5" ht="23.25" customHeight="1">
      <c r="A111" s="397"/>
      <c r="B111" s="397">
        <v>10000000</v>
      </c>
      <c r="C111" s="398" t="s">
        <v>440</v>
      </c>
      <c r="D111" s="397">
        <v>10000000</v>
      </c>
      <c r="E111" s="397"/>
    </row>
    <row r="112" spans="1:5" ht="23.25" customHeight="1">
      <c r="A112" s="397"/>
      <c r="B112" s="397"/>
      <c r="C112" s="398" t="s">
        <v>374</v>
      </c>
      <c r="D112" s="397"/>
      <c r="E112" s="397"/>
    </row>
    <row r="113" spans="1:5" ht="23.25" customHeight="1">
      <c r="A113" s="397"/>
      <c r="B113" s="397">
        <v>140213925</v>
      </c>
      <c r="C113" s="398" t="s">
        <v>375</v>
      </c>
      <c r="D113" s="397">
        <v>140213925</v>
      </c>
      <c r="E113" s="397"/>
    </row>
    <row r="114" spans="1:5" ht="23.25" customHeight="1">
      <c r="A114" s="397"/>
      <c r="B114" s="397">
        <v>14440000</v>
      </c>
      <c r="C114" s="398" t="s">
        <v>376</v>
      </c>
      <c r="D114" s="397">
        <v>14440000</v>
      </c>
      <c r="E114" s="397"/>
    </row>
    <row r="115" spans="1:5" ht="23.25" customHeight="1">
      <c r="A115" s="397"/>
      <c r="B115" s="397">
        <v>509661000</v>
      </c>
      <c r="C115" s="398" t="s">
        <v>377</v>
      </c>
      <c r="D115" s="397">
        <v>509661000</v>
      </c>
      <c r="E115" s="397"/>
    </row>
    <row r="116" spans="1:5" ht="23.25" customHeight="1">
      <c r="A116" s="397"/>
      <c r="B116" s="397"/>
      <c r="C116" s="398" t="s">
        <v>378</v>
      </c>
      <c r="D116" s="397"/>
      <c r="E116" s="397"/>
    </row>
    <row r="117" spans="1:5" ht="23.25" customHeight="1">
      <c r="A117" s="397"/>
      <c r="B117" s="397">
        <v>6359461</v>
      </c>
      <c r="C117" s="398" t="s">
        <v>379</v>
      </c>
      <c r="D117" s="397">
        <v>6359461</v>
      </c>
      <c r="E117" s="397"/>
    </row>
    <row r="118" spans="1:5" ht="23.25" customHeight="1">
      <c r="A118" s="397"/>
      <c r="B118" s="397">
        <v>207750</v>
      </c>
      <c r="C118" s="398" t="s">
        <v>380</v>
      </c>
      <c r="D118" s="397">
        <v>207750</v>
      </c>
      <c r="E118" s="397"/>
    </row>
    <row r="119" spans="1:5" ht="23.25" customHeight="1">
      <c r="A119" s="397"/>
      <c r="B119" s="397">
        <v>5498020</v>
      </c>
      <c r="C119" s="398" t="s">
        <v>381</v>
      </c>
      <c r="D119" s="397">
        <v>5498020</v>
      </c>
      <c r="E119" s="397"/>
    </row>
    <row r="120" spans="1:5" ht="23.25" customHeight="1">
      <c r="A120" s="397"/>
      <c r="B120" s="397"/>
      <c r="C120" s="398" t="s">
        <v>185</v>
      </c>
      <c r="D120" s="397"/>
      <c r="E120" s="397"/>
    </row>
    <row r="121" spans="1:5" ht="23.25" customHeight="1">
      <c r="A121" s="399">
        <f>SUM(A122:A151)</f>
        <v>0</v>
      </c>
      <c r="B121" s="399">
        <f>SUM(B122:B151)</f>
        <v>42649050501</v>
      </c>
      <c r="C121" s="400" t="s">
        <v>382</v>
      </c>
      <c r="D121" s="399">
        <f>SUM(D122:D151)</f>
        <v>42649050501</v>
      </c>
      <c r="E121" s="399">
        <f>SUM(E122:E151)</f>
        <v>0</v>
      </c>
    </row>
    <row r="122" spans="1:5" ht="23.25" customHeight="1">
      <c r="A122" s="397"/>
      <c r="B122" s="397"/>
      <c r="C122" s="398" t="s">
        <v>383</v>
      </c>
      <c r="D122" s="397"/>
      <c r="E122" s="397"/>
    </row>
    <row r="123" spans="1:5" ht="23.25" customHeight="1">
      <c r="A123" s="397"/>
      <c r="B123" s="397">
        <v>8985497674</v>
      </c>
      <c r="C123" s="398" t="s">
        <v>359</v>
      </c>
      <c r="D123" s="397">
        <v>8985497674</v>
      </c>
      <c r="E123" s="397"/>
    </row>
    <row r="124" spans="1:5" ht="23.25" customHeight="1">
      <c r="A124" s="397"/>
      <c r="B124" s="397"/>
      <c r="C124" s="398" t="s">
        <v>384</v>
      </c>
      <c r="D124" s="397"/>
      <c r="E124" s="397"/>
    </row>
    <row r="125" spans="1:5" ht="23.25" customHeight="1">
      <c r="A125" s="397"/>
      <c r="B125" s="397">
        <v>830389578</v>
      </c>
      <c r="C125" s="398" t="s">
        <v>65</v>
      </c>
      <c r="D125" s="397">
        <v>830389578</v>
      </c>
      <c r="E125" s="397"/>
    </row>
    <row r="126" spans="1:5" ht="23.25" customHeight="1">
      <c r="A126" s="397"/>
      <c r="B126" s="397">
        <v>30375148</v>
      </c>
      <c r="C126" s="398" t="s">
        <v>361</v>
      </c>
      <c r="D126" s="397">
        <v>30375148</v>
      </c>
      <c r="E126" s="397"/>
    </row>
    <row r="127" spans="1:5" ht="23.25" customHeight="1">
      <c r="A127" s="397"/>
      <c r="B127" s="397">
        <v>1245874445</v>
      </c>
      <c r="C127" s="398" t="s">
        <v>362</v>
      </c>
      <c r="D127" s="397">
        <v>1245874445</v>
      </c>
      <c r="E127" s="397"/>
    </row>
    <row r="128" spans="1:5" ht="23.25" customHeight="1">
      <c r="A128" s="397"/>
      <c r="B128" s="397">
        <v>822505008</v>
      </c>
      <c r="C128" s="398" t="s">
        <v>363</v>
      </c>
      <c r="D128" s="397">
        <v>822505008</v>
      </c>
      <c r="E128" s="397"/>
    </row>
    <row r="129" spans="1:5" ht="23.25" customHeight="1">
      <c r="A129" s="397"/>
      <c r="B129" s="397">
        <v>22285319</v>
      </c>
      <c r="C129" s="398" t="s">
        <v>364</v>
      </c>
      <c r="D129" s="397">
        <v>22285319</v>
      </c>
      <c r="E129" s="397"/>
    </row>
    <row r="130" spans="1:5" ht="23.25" customHeight="1">
      <c r="A130" s="397"/>
      <c r="B130" s="397">
        <v>199140854</v>
      </c>
      <c r="C130" s="398" t="s">
        <v>365</v>
      </c>
      <c r="D130" s="397">
        <v>199140854</v>
      </c>
      <c r="E130" s="397"/>
    </row>
    <row r="131" spans="1:5" ht="23.25" customHeight="1">
      <c r="A131" s="397"/>
      <c r="B131" s="397">
        <v>1097307450</v>
      </c>
      <c r="C131" s="398" t="s">
        <v>366</v>
      </c>
      <c r="D131" s="397">
        <v>1097307450</v>
      </c>
      <c r="E131" s="397"/>
    </row>
    <row r="132" spans="1:5" ht="23.25" customHeight="1">
      <c r="A132" s="397"/>
      <c r="B132" s="397">
        <v>404509784</v>
      </c>
      <c r="C132" s="398" t="s">
        <v>385</v>
      </c>
      <c r="D132" s="397">
        <v>404509784</v>
      </c>
      <c r="E132" s="397"/>
    </row>
    <row r="133" spans="1:5" ht="23.25" customHeight="1">
      <c r="A133" s="397"/>
      <c r="B133" s="397">
        <v>194317481</v>
      </c>
      <c r="C133" s="398" t="s">
        <v>368</v>
      </c>
      <c r="D133" s="397">
        <v>194317481</v>
      </c>
      <c r="E133" s="397"/>
    </row>
    <row r="134" spans="1:5" ht="23.25" customHeight="1">
      <c r="A134" s="397"/>
      <c r="B134" s="397">
        <v>619318471</v>
      </c>
      <c r="C134" s="398" t="s">
        <v>386</v>
      </c>
      <c r="D134" s="397">
        <v>619318471</v>
      </c>
      <c r="E134" s="397"/>
    </row>
    <row r="135" spans="1:5" ht="23.25" customHeight="1">
      <c r="A135" s="397"/>
      <c r="B135" s="397">
        <v>134353485</v>
      </c>
      <c r="C135" s="398" t="s">
        <v>371</v>
      </c>
      <c r="D135" s="397">
        <v>134353485</v>
      </c>
      <c r="E135" s="397"/>
    </row>
    <row r="136" spans="1:5" ht="23.25" customHeight="1">
      <c r="A136" s="397"/>
      <c r="B136" s="397">
        <v>14613075066</v>
      </c>
      <c r="C136" s="398" t="s">
        <v>370</v>
      </c>
      <c r="D136" s="397">
        <v>14613075066</v>
      </c>
      <c r="E136" s="397"/>
    </row>
    <row r="137" spans="1:5" ht="23.25" customHeight="1">
      <c r="A137" s="397"/>
      <c r="B137" s="397">
        <v>12834510</v>
      </c>
      <c r="C137" s="398" t="s">
        <v>387</v>
      </c>
      <c r="D137" s="397">
        <v>12834510</v>
      </c>
      <c r="E137" s="397"/>
    </row>
    <row r="138" spans="1:5" ht="23.25" customHeight="1">
      <c r="A138" s="397"/>
      <c r="B138" s="397">
        <v>1137776182</v>
      </c>
      <c r="C138" s="398" t="s">
        <v>388</v>
      </c>
      <c r="D138" s="397">
        <v>1137776182</v>
      </c>
      <c r="E138" s="397"/>
    </row>
    <row r="139" spans="1:5" ht="23.25" customHeight="1">
      <c r="A139" s="397"/>
      <c r="B139" s="397">
        <v>114771374</v>
      </c>
      <c r="C139" s="398" t="s">
        <v>374</v>
      </c>
      <c r="D139" s="397">
        <v>114771374</v>
      </c>
      <c r="E139" s="397"/>
    </row>
    <row r="140" spans="1:5" ht="23.25" customHeight="1">
      <c r="A140" s="397"/>
      <c r="B140" s="397">
        <v>743564871</v>
      </c>
      <c r="C140" s="398" t="s">
        <v>389</v>
      </c>
      <c r="D140" s="397">
        <v>743564871</v>
      </c>
      <c r="E140" s="397"/>
    </row>
    <row r="141" spans="1:5" ht="23.25" customHeight="1">
      <c r="A141" s="397"/>
      <c r="B141" s="397">
        <v>2290745753</v>
      </c>
      <c r="C141" s="398" t="s">
        <v>390</v>
      </c>
      <c r="D141" s="397">
        <v>2290745753</v>
      </c>
      <c r="E141" s="397"/>
    </row>
    <row r="142" spans="1:5" ht="23.25" customHeight="1">
      <c r="A142" s="397"/>
      <c r="B142" s="397">
        <v>1421869524</v>
      </c>
      <c r="C142" s="398" t="s">
        <v>379</v>
      </c>
      <c r="D142" s="397">
        <v>1421869524</v>
      </c>
      <c r="E142" s="397"/>
    </row>
    <row r="143" spans="1:5" ht="23.25" customHeight="1">
      <c r="A143" s="397"/>
      <c r="B143" s="397">
        <v>937843546</v>
      </c>
      <c r="C143" s="398" t="s">
        <v>391</v>
      </c>
      <c r="D143" s="397">
        <v>937843546</v>
      </c>
      <c r="E143" s="397"/>
    </row>
    <row r="144" spans="1:5" ht="23.25" customHeight="1">
      <c r="A144" s="397"/>
      <c r="B144" s="397">
        <v>54385762</v>
      </c>
      <c r="C144" s="398" t="s">
        <v>441</v>
      </c>
      <c r="D144" s="397">
        <v>54385762</v>
      </c>
      <c r="E144" s="397"/>
    </row>
    <row r="145" spans="1:5" ht="23.25" customHeight="1">
      <c r="A145" s="397"/>
      <c r="B145" s="397">
        <v>130897123</v>
      </c>
      <c r="C145" s="398" t="s">
        <v>378</v>
      </c>
      <c r="D145" s="397">
        <v>130897123</v>
      </c>
      <c r="E145" s="397"/>
    </row>
    <row r="146" spans="1:5" ht="23.25" customHeight="1">
      <c r="A146" s="397"/>
      <c r="B146" s="397">
        <v>190278394</v>
      </c>
      <c r="C146" s="398" t="s">
        <v>381</v>
      </c>
      <c r="D146" s="397">
        <v>190278394</v>
      </c>
      <c r="E146" s="397"/>
    </row>
    <row r="147" spans="1:5" ht="23.25" customHeight="1">
      <c r="A147" s="397"/>
      <c r="B147" s="397">
        <v>3488308480</v>
      </c>
      <c r="C147" s="398" t="s">
        <v>392</v>
      </c>
      <c r="D147" s="397">
        <v>3488308480</v>
      </c>
      <c r="E147" s="397"/>
    </row>
    <row r="148" spans="1:5" ht="23.25" customHeight="1">
      <c r="A148" s="397"/>
      <c r="B148" s="397">
        <v>507890937</v>
      </c>
      <c r="C148" s="398" t="s">
        <v>393</v>
      </c>
      <c r="D148" s="397">
        <v>507890937</v>
      </c>
      <c r="E148" s="397"/>
    </row>
    <row r="149" spans="1:5" ht="23.25" customHeight="1">
      <c r="A149" s="397"/>
      <c r="B149" s="397">
        <v>22937134</v>
      </c>
      <c r="C149" s="398" t="s">
        <v>394</v>
      </c>
      <c r="D149" s="397">
        <v>22937134</v>
      </c>
      <c r="E149" s="397"/>
    </row>
    <row r="150" spans="1:5" ht="23.25" customHeight="1">
      <c r="A150" s="397"/>
      <c r="B150" s="397">
        <v>2181017242</v>
      </c>
      <c r="C150" s="398" t="s">
        <v>395</v>
      </c>
      <c r="D150" s="397">
        <v>2181017242</v>
      </c>
      <c r="E150" s="397"/>
    </row>
    <row r="151" spans="1:5" ht="23.25" customHeight="1">
      <c r="A151" s="397"/>
      <c r="B151" s="397">
        <v>214979906</v>
      </c>
      <c r="C151" s="398" t="s">
        <v>396</v>
      </c>
      <c r="D151" s="397">
        <v>214979906</v>
      </c>
      <c r="E151" s="397"/>
    </row>
    <row r="152" spans="1:5" ht="23.25" customHeight="1">
      <c r="A152" s="399"/>
      <c r="B152" s="399">
        <f>SUM(B153:B156)</f>
        <v>499758914</v>
      </c>
      <c r="C152" s="400" t="s">
        <v>397</v>
      </c>
      <c r="D152" s="399">
        <f>SUM(D153:D156)</f>
        <v>499758914</v>
      </c>
      <c r="E152" s="399">
        <f>SUM(E153:E178)</f>
        <v>0</v>
      </c>
    </row>
    <row r="153" spans="1:5" ht="23.25" customHeight="1">
      <c r="A153" s="397"/>
      <c r="B153" s="397">
        <v>113995362</v>
      </c>
      <c r="C153" s="398" t="s">
        <v>52</v>
      </c>
      <c r="D153" s="397">
        <v>113995362</v>
      </c>
      <c r="E153" s="397"/>
    </row>
    <row r="154" spans="1:5" ht="23.25" customHeight="1">
      <c r="A154" s="397"/>
      <c r="B154" s="397">
        <v>117718345</v>
      </c>
      <c r="C154" s="398" t="s">
        <v>21</v>
      </c>
      <c r="D154" s="397">
        <v>117718345</v>
      </c>
      <c r="E154" s="397"/>
    </row>
    <row r="155" spans="1:5" ht="23.25" customHeight="1">
      <c r="A155" s="397"/>
      <c r="B155" s="397">
        <v>10544000</v>
      </c>
      <c r="C155" s="398" t="s">
        <v>53</v>
      </c>
      <c r="D155" s="397">
        <v>10544000</v>
      </c>
      <c r="E155" s="397"/>
    </row>
    <row r="156" spans="1:5" ht="23.25" customHeight="1">
      <c r="A156" s="397"/>
      <c r="B156" s="397">
        <v>257501207</v>
      </c>
      <c r="C156" s="398" t="s">
        <v>56</v>
      </c>
      <c r="D156" s="397">
        <v>257501207</v>
      </c>
      <c r="E156" s="397"/>
    </row>
    <row r="157" spans="1:5" ht="23.25" customHeight="1">
      <c r="A157" s="399"/>
      <c r="B157" s="399">
        <f>SUM(B158:B182)</f>
        <v>5009053892</v>
      </c>
      <c r="C157" s="400" t="s">
        <v>398</v>
      </c>
      <c r="D157" s="399">
        <f>SUM(D158:D182)</f>
        <v>5009053892</v>
      </c>
      <c r="E157" s="399">
        <f>SUM(E158:E182)</f>
        <v>0</v>
      </c>
    </row>
    <row r="158" spans="1:5" ht="23.25" customHeight="1">
      <c r="A158" s="397"/>
      <c r="B158" s="397">
        <v>2621044636</v>
      </c>
      <c r="C158" s="398" t="s">
        <v>359</v>
      </c>
      <c r="D158" s="397">
        <v>2621044636</v>
      </c>
      <c r="E158" s="397"/>
    </row>
    <row r="159" spans="1:5" ht="23.25" customHeight="1">
      <c r="A159" s="397"/>
      <c r="B159" s="397">
        <v>23000691</v>
      </c>
      <c r="C159" s="398" t="s">
        <v>65</v>
      </c>
      <c r="D159" s="397">
        <v>23000691</v>
      </c>
      <c r="E159" s="397"/>
    </row>
    <row r="160" spans="1:5" ht="23.25" customHeight="1">
      <c r="A160" s="397"/>
      <c r="B160" s="397">
        <v>28476140</v>
      </c>
      <c r="C160" s="398" t="s">
        <v>361</v>
      </c>
      <c r="D160" s="397">
        <v>28476140</v>
      </c>
      <c r="E160" s="397"/>
    </row>
    <row r="161" spans="1:5" ht="23.25" customHeight="1">
      <c r="A161" s="397"/>
      <c r="B161" s="397">
        <v>328861758</v>
      </c>
      <c r="C161" s="398" t="s">
        <v>362</v>
      </c>
      <c r="D161" s="397">
        <v>328861758</v>
      </c>
      <c r="E161" s="397"/>
    </row>
    <row r="162" spans="1:5" ht="23.25" customHeight="1">
      <c r="A162" s="397"/>
      <c r="B162" s="397">
        <v>63497268</v>
      </c>
      <c r="C162" s="398" t="s">
        <v>363</v>
      </c>
      <c r="D162" s="397">
        <v>63497268</v>
      </c>
      <c r="E162" s="397"/>
    </row>
    <row r="163" spans="1:5" ht="23.25" customHeight="1">
      <c r="A163" s="397"/>
      <c r="B163" s="397">
        <v>28110300</v>
      </c>
      <c r="C163" s="398" t="s">
        <v>364</v>
      </c>
      <c r="D163" s="397">
        <v>28110300</v>
      </c>
      <c r="E163" s="397"/>
    </row>
    <row r="164" spans="1:5" ht="23.25" customHeight="1">
      <c r="A164" s="397"/>
      <c r="B164" s="397">
        <v>23299770</v>
      </c>
      <c r="C164" s="398" t="s">
        <v>365</v>
      </c>
      <c r="D164" s="397">
        <v>23299770</v>
      </c>
      <c r="E164" s="397"/>
    </row>
    <row r="165" spans="1:5" ht="23.25" customHeight="1">
      <c r="A165" s="397"/>
      <c r="B165" s="397">
        <v>136821403</v>
      </c>
      <c r="C165" s="398" t="s">
        <v>366</v>
      </c>
      <c r="D165" s="397">
        <v>136821403</v>
      </c>
      <c r="E165" s="397"/>
    </row>
    <row r="166" spans="1:5" ht="23.25" customHeight="1">
      <c r="A166" s="397"/>
      <c r="B166" s="397">
        <v>193870775</v>
      </c>
      <c r="C166" s="398" t="s">
        <v>367</v>
      </c>
      <c r="D166" s="397">
        <v>193870775</v>
      </c>
      <c r="E166" s="397"/>
    </row>
    <row r="167" spans="1:5" ht="23.25" customHeight="1">
      <c r="A167" s="397"/>
      <c r="B167" s="397">
        <v>284989420</v>
      </c>
      <c r="C167" s="398" t="s">
        <v>368</v>
      </c>
      <c r="D167" s="397">
        <v>284989420</v>
      </c>
      <c r="E167" s="397"/>
    </row>
    <row r="168" spans="1:5" ht="23.25" customHeight="1">
      <c r="A168" s="397"/>
      <c r="B168" s="397">
        <v>75581015</v>
      </c>
      <c r="C168" s="398" t="s">
        <v>369</v>
      </c>
      <c r="D168" s="397">
        <v>75581015</v>
      </c>
      <c r="E168" s="397"/>
    </row>
    <row r="169" spans="1:5" ht="23.25" customHeight="1">
      <c r="A169" s="397"/>
      <c r="B169" s="397">
        <v>27541101</v>
      </c>
      <c r="C169" s="398" t="s">
        <v>371</v>
      </c>
      <c r="D169" s="397">
        <v>27541101</v>
      </c>
      <c r="E169" s="397"/>
    </row>
    <row r="170" spans="1:5" ht="23.25" customHeight="1">
      <c r="A170" s="397"/>
      <c r="B170" s="397">
        <v>274053155</v>
      </c>
      <c r="C170" s="398" t="s">
        <v>379</v>
      </c>
      <c r="D170" s="397">
        <v>274053155</v>
      </c>
      <c r="E170" s="397"/>
    </row>
    <row r="171" spans="1:5" ht="23.25" customHeight="1">
      <c r="A171" s="397"/>
      <c r="B171" s="397">
        <v>345545917</v>
      </c>
      <c r="C171" s="398" t="s">
        <v>370</v>
      </c>
      <c r="D171" s="397">
        <v>345545917</v>
      </c>
      <c r="E171" s="397"/>
    </row>
    <row r="172" spans="1:5" ht="23.25" customHeight="1">
      <c r="A172" s="397"/>
      <c r="B172" s="397">
        <v>26083500</v>
      </c>
      <c r="C172" s="398" t="s">
        <v>372</v>
      </c>
      <c r="D172" s="397">
        <v>26083500</v>
      </c>
      <c r="E172" s="397"/>
    </row>
    <row r="173" spans="1:5" ht="23.25" customHeight="1">
      <c r="A173" s="397"/>
      <c r="B173" s="397">
        <v>49484200</v>
      </c>
      <c r="C173" s="398" t="s">
        <v>373</v>
      </c>
      <c r="D173" s="397">
        <v>49484200</v>
      </c>
      <c r="E173" s="397"/>
    </row>
    <row r="174" spans="1:5" ht="23.25" customHeight="1">
      <c r="A174" s="397"/>
      <c r="B174" s="397">
        <v>2706200</v>
      </c>
      <c r="C174" s="398" t="s">
        <v>442</v>
      </c>
      <c r="D174" s="397">
        <v>2706200</v>
      </c>
      <c r="E174" s="397"/>
    </row>
    <row r="175" spans="1:5" ht="23.25" customHeight="1">
      <c r="A175" s="397"/>
      <c r="B175" s="397">
        <v>50797310</v>
      </c>
      <c r="C175" s="398" t="s">
        <v>399</v>
      </c>
      <c r="D175" s="397">
        <v>50797310</v>
      </c>
      <c r="E175" s="397"/>
    </row>
    <row r="176" spans="1:5" ht="23.25" customHeight="1">
      <c r="A176" s="397"/>
      <c r="B176" s="397">
        <v>128239097</v>
      </c>
      <c r="C176" s="398" t="s">
        <v>376</v>
      </c>
      <c r="D176" s="397">
        <v>128239097</v>
      </c>
      <c r="E176" s="397"/>
    </row>
    <row r="177" spans="1:5" ht="23.25" customHeight="1">
      <c r="A177" s="397"/>
      <c r="B177" s="397">
        <v>86007400</v>
      </c>
      <c r="C177" s="398" t="s">
        <v>400</v>
      </c>
      <c r="D177" s="397">
        <v>86007400</v>
      </c>
      <c r="E177" s="397"/>
    </row>
    <row r="178" spans="1:5" ht="23.25" customHeight="1">
      <c r="A178" s="397"/>
      <c r="B178" s="397">
        <v>137093964</v>
      </c>
      <c r="C178" s="398" t="s">
        <v>378</v>
      </c>
      <c r="D178" s="397">
        <v>137093964</v>
      </c>
      <c r="E178" s="397"/>
    </row>
    <row r="179" spans="1:5" ht="23.25" customHeight="1">
      <c r="A179" s="397"/>
      <c r="B179" s="397">
        <v>34150000</v>
      </c>
      <c r="C179" s="398" t="s">
        <v>443</v>
      </c>
      <c r="D179" s="397">
        <v>34150000</v>
      </c>
      <c r="E179" s="397"/>
    </row>
    <row r="180" spans="1:5" ht="23.25" customHeight="1">
      <c r="A180" s="397"/>
      <c r="B180" s="397">
        <v>22888448</v>
      </c>
      <c r="C180" s="398" t="s">
        <v>381</v>
      </c>
      <c r="D180" s="397">
        <v>22888448</v>
      </c>
      <c r="E180" s="397"/>
    </row>
    <row r="181" spans="1:5" ht="23.25" customHeight="1">
      <c r="A181" s="397"/>
      <c r="B181" s="397">
        <v>7243904</v>
      </c>
      <c r="C181" s="398" t="s">
        <v>401</v>
      </c>
      <c r="D181" s="397">
        <v>7243904</v>
      </c>
      <c r="E181" s="397"/>
    </row>
    <row r="182" spans="1:5" ht="23.25" customHeight="1">
      <c r="A182" s="397"/>
      <c r="B182" s="397">
        <v>9666520</v>
      </c>
      <c r="C182" s="398" t="s">
        <v>444</v>
      </c>
      <c r="D182" s="397">
        <v>9666520</v>
      </c>
      <c r="E182" s="397"/>
    </row>
    <row r="183" spans="1:5" ht="23.25" customHeight="1">
      <c r="A183" s="399">
        <f>+A184+A186</f>
        <v>0</v>
      </c>
      <c r="B183" s="399">
        <f>SUM(B184:B186)</f>
        <v>488010139</v>
      </c>
      <c r="C183" s="400" t="s">
        <v>402</v>
      </c>
      <c r="D183" s="399">
        <f>SUM(D184:D186)</f>
        <v>488010139</v>
      </c>
      <c r="E183" s="399">
        <f>SUM(E184:E186)</f>
        <v>0</v>
      </c>
    </row>
    <row r="184" spans="1:5" ht="23.25" customHeight="1">
      <c r="A184" s="397"/>
      <c r="B184" s="397">
        <v>425209174</v>
      </c>
      <c r="C184" s="398" t="s">
        <v>403</v>
      </c>
      <c r="D184" s="397">
        <v>425209174</v>
      </c>
      <c r="E184" s="397"/>
    </row>
    <row r="185" spans="1:5" ht="23.25" customHeight="1">
      <c r="A185" s="397"/>
      <c r="B185" s="397"/>
      <c r="C185" s="398" t="s">
        <v>256</v>
      </c>
      <c r="D185" s="397"/>
      <c r="E185" s="397"/>
    </row>
    <row r="186" spans="1:5" ht="23.25" customHeight="1">
      <c r="A186" s="397"/>
      <c r="B186" s="397">
        <f>35500965+27300000</f>
        <v>62800965</v>
      </c>
      <c r="C186" s="398" t="s">
        <v>404</v>
      </c>
      <c r="D186" s="397">
        <f>35500965+27300000</f>
        <v>62800965</v>
      </c>
      <c r="E186" s="397"/>
    </row>
    <row r="187" spans="1:5" ht="23.25" customHeight="1">
      <c r="A187" s="399">
        <f>SUM(A188:A190)</f>
        <v>0</v>
      </c>
      <c r="B187" s="399">
        <f>SUM(B188:B190)</f>
        <v>219729844</v>
      </c>
      <c r="C187" s="400" t="s">
        <v>405</v>
      </c>
      <c r="D187" s="399">
        <f>SUM(D188:D190)</f>
        <v>219729844</v>
      </c>
      <c r="E187" s="399">
        <f>+E188+E190</f>
        <v>0</v>
      </c>
    </row>
    <row r="188" spans="1:5" ht="23.25" customHeight="1">
      <c r="A188" s="397"/>
      <c r="B188" s="397">
        <v>218499000</v>
      </c>
      <c r="C188" s="398" t="s">
        <v>406</v>
      </c>
      <c r="D188" s="397">
        <v>218499000</v>
      </c>
      <c r="E188" s="397"/>
    </row>
    <row r="189" spans="1:5" ht="23.25" customHeight="1">
      <c r="A189" s="397"/>
      <c r="B189" s="397">
        <v>622562</v>
      </c>
      <c r="C189" s="398" t="s">
        <v>407</v>
      </c>
      <c r="D189" s="397">
        <v>622562</v>
      </c>
      <c r="E189" s="397"/>
    </row>
    <row r="190" spans="1:5" ht="23.25" customHeight="1">
      <c r="A190" s="397"/>
      <c r="B190" s="397">
        <v>608282</v>
      </c>
      <c r="C190" s="398" t="s">
        <v>408</v>
      </c>
      <c r="D190" s="397">
        <v>608282</v>
      </c>
      <c r="E190" s="397"/>
    </row>
    <row r="191" spans="1:5" ht="23.25" customHeight="1">
      <c r="A191" s="402">
        <f>+A8+A54+A69+A81</f>
        <v>164808528513</v>
      </c>
      <c r="B191" s="402">
        <f>+B8+B54+B69+B81</f>
        <v>682583174719</v>
      </c>
      <c r="C191" s="392" t="s">
        <v>409</v>
      </c>
      <c r="D191" s="402">
        <f>+D8+D54+D69+D81</f>
        <v>682583174719</v>
      </c>
      <c r="E191" s="402">
        <f>+E8+E54+E69+E81</f>
        <v>164808528513</v>
      </c>
    </row>
    <row r="192" spans="1:5" ht="14.25">
      <c r="A192" s="403"/>
      <c r="B192" s="403"/>
      <c r="C192" s="403"/>
      <c r="D192" s="403">
        <v>0</v>
      </c>
      <c r="E192" s="403">
        <f>+E191-A191</f>
        <v>0</v>
      </c>
    </row>
  </sheetData>
  <sheetProtection/>
  <mergeCells count="5">
    <mergeCell ref="A1:E1"/>
    <mergeCell ref="A3:E3"/>
    <mergeCell ref="A6:B6"/>
    <mergeCell ref="C6:C7"/>
    <mergeCell ref="D6:E6"/>
  </mergeCells>
  <printOptions horizontalCentered="1"/>
  <pageMargins left="0.5118110236220472" right="0.4330708661417323" top="0.7480314960629921" bottom="0.4724409448818898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이명근</dc:creator>
  <cp:keywords/>
  <dc:description/>
  <cp:lastModifiedBy>user</cp:lastModifiedBy>
  <cp:lastPrinted>2019-02-11T04:09:28Z</cp:lastPrinted>
  <dcterms:created xsi:type="dcterms:W3CDTF">2002-03-15T03:35:31Z</dcterms:created>
  <dcterms:modified xsi:type="dcterms:W3CDTF">2019-10-22T00:28:46Z</dcterms:modified>
  <cp:category/>
  <cp:version/>
  <cp:contentType/>
  <cp:contentStatus/>
</cp:coreProperties>
</file>